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D:\MADS2020\Informes_MADS_2020\InformeAbrilPAMO_2020\"/>
    </mc:Choice>
  </mc:AlternateContent>
  <xr:revisionPtr revIDLastSave="0" documentId="13_ncr:1_{9B7103D7-B7D6-4774-B4B9-DE6D408B52C6}" xr6:coauthVersionLast="45" xr6:coauthVersionMax="45" xr10:uidLastSave="{00000000-0000-0000-0000-000000000000}"/>
  <bookViews>
    <workbookView minimized="1" xWindow="690" yWindow="690" windowWidth="2400" windowHeight="585" firstSheet="2" activeTab="5" xr2:uid="{00000000-000D-0000-FFFF-FFFF00000000}"/>
  </bookViews>
  <sheets>
    <sheet name="Oferta ENA 2018" sheetId="3" r:id="rId1"/>
    <sheet name="Oferta Pomca" sheetId="1" r:id="rId2"/>
    <sheet name="Demanda ENA 2018" sheetId="4" r:id="rId3"/>
    <sheet name="Demanda Pomcas" sheetId="8" r:id="rId4"/>
    <sheet name="Demanda Sectorial Pomcas" sheetId="13" r:id="rId5"/>
    <sheet name="Demanda Población" sheetId="15" r:id="rId6"/>
    <sheet name="Calidad ENA 2018" sheetId="6" r:id="rId7"/>
    <sheet name="Calidad Pomcas" sheetId="9" r:id="rId8"/>
    <sheet name="Compar Oferta-Demanda" sheetId="16" r:id="rId9"/>
    <sheet name="Riesgo" sheetId="7" r:id="rId10"/>
    <sheet name="Riesgo Pomcas" sheetId="10" r:id="rId11"/>
    <sheet name="Evaluacion integrada" sheetId="11" r:id="rId12"/>
    <sheet name="POT Recarga" sheetId="12" r:id="rId13"/>
  </sheets>
  <definedNames>
    <definedName name="_xlnm._FilterDatabase" localSheetId="3" hidden="1">'Demanda Pomcas'!$C$2:$Q$41</definedName>
    <definedName name="_Ref490122245" localSheetId="1">'Oferta Pomca'!#REF!</definedName>
    <definedName name="_Ref503475352" localSheetId="1">'Oferta Pomca'!#REF!</definedName>
    <definedName name="_Toc1572372" localSheetId="7">'Calidad Pomcas'!$M$31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49" i="15" l="1"/>
  <c r="N48" i="15"/>
  <c r="N47" i="15"/>
  <c r="J47" i="15"/>
  <c r="N38" i="15"/>
  <c r="N37" i="15"/>
  <c r="M37" i="15"/>
  <c r="M36" i="15"/>
  <c r="E52" i="15"/>
  <c r="G38" i="15" l="1"/>
  <c r="G39" i="15"/>
  <c r="G40" i="15"/>
  <c r="G41" i="15"/>
  <c r="G42" i="15"/>
  <c r="G43" i="15"/>
  <c r="G44" i="15"/>
  <c r="G45" i="15"/>
  <c r="G37" i="15"/>
  <c r="O51" i="9" l="1"/>
  <c r="P47" i="9" s="1"/>
  <c r="M51" i="9"/>
  <c r="N48" i="9" s="1"/>
  <c r="P50" i="9" l="1"/>
  <c r="P49" i="9"/>
  <c r="P46" i="9"/>
  <c r="P48" i="9"/>
  <c r="P45" i="9"/>
  <c r="N49" i="9"/>
  <c r="N45" i="9"/>
  <c r="N47" i="9"/>
  <c r="N50" i="9"/>
  <c r="N46" i="9"/>
  <c r="N21" i="7"/>
  <c r="M24" i="7"/>
  <c r="N23" i="7" s="1"/>
  <c r="Q21" i="16"/>
  <c r="Q20" i="16"/>
  <c r="S31" i="16"/>
  <c r="R31" i="16"/>
  <c r="S30" i="16"/>
  <c r="R30" i="16"/>
  <c r="S29" i="16"/>
  <c r="R29" i="16"/>
  <c r="S28" i="16"/>
  <c r="R28" i="16"/>
  <c r="S27" i="16"/>
  <c r="R27" i="16"/>
  <c r="S26" i="16"/>
  <c r="R26" i="16"/>
  <c r="S25" i="16"/>
  <c r="R25" i="16"/>
  <c r="S24" i="16"/>
  <c r="R24" i="16"/>
  <c r="S23" i="16"/>
  <c r="R23" i="16"/>
  <c r="S22" i="16"/>
  <c r="R22" i="16"/>
  <c r="L18" i="6"/>
  <c r="L19" i="6"/>
  <c r="L20" i="6"/>
  <c r="L21" i="6"/>
  <c r="L22" i="6"/>
  <c r="L17" i="6"/>
  <c r="I23" i="6"/>
  <c r="J18" i="6" s="1"/>
  <c r="F46" i="15"/>
  <c r="G46" i="15"/>
  <c r="E46" i="15"/>
  <c r="I38" i="15"/>
  <c r="J38" i="15" s="1"/>
  <c r="I39" i="15"/>
  <c r="J39" i="15" s="1"/>
  <c r="I40" i="15"/>
  <c r="J40" i="15" s="1"/>
  <c r="I41" i="15"/>
  <c r="J41" i="15" s="1"/>
  <c r="I42" i="15"/>
  <c r="J42" i="15" s="1"/>
  <c r="I43" i="15"/>
  <c r="J43" i="15" s="1"/>
  <c r="I44" i="15"/>
  <c r="J44" i="15" s="1"/>
  <c r="I45" i="15"/>
  <c r="J45" i="15" s="1"/>
  <c r="I37" i="15"/>
  <c r="J37" i="15" s="1"/>
  <c r="F35" i="15"/>
  <c r="E35" i="15"/>
  <c r="F47" i="15" l="1"/>
  <c r="E47" i="15"/>
  <c r="N22" i="7"/>
  <c r="P51" i="9"/>
  <c r="N51" i="9"/>
  <c r="J17" i="6"/>
  <c r="J21" i="6"/>
  <c r="J19" i="6"/>
  <c r="J22" i="6"/>
  <c r="J20" i="6"/>
  <c r="K37" i="15"/>
  <c r="K44" i="15"/>
  <c r="K42" i="15"/>
  <c r="K40" i="15"/>
  <c r="K38" i="15"/>
  <c r="K45" i="15"/>
  <c r="K43" i="15"/>
  <c r="K41" i="15"/>
  <c r="K39" i="15"/>
  <c r="I46" i="15"/>
  <c r="Q59" i="8"/>
  <c r="Q60" i="8"/>
  <c r="Q61" i="8"/>
  <c r="Q62" i="8"/>
  <c r="Q58" i="8"/>
  <c r="O62" i="8"/>
  <c r="O61" i="8"/>
  <c r="O60" i="8"/>
  <c r="O59" i="8"/>
  <c r="O58" i="8"/>
  <c r="P28" i="13"/>
  <c r="P27" i="13"/>
  <c r="P26" i="13"/>
  <c r="P25" i="13"/>
  <c r="P24" i="13"/>
  <c r="P23" i="13"/>
  <c r="O28" i="13"/>
  <c r="O26" i="13"/>
  <c r="O25" i="13"/>
  <c r="O24" i="13"/>
  <c r="O23" i="13"/>
  <c r="P33" i="13"/>
  <c r="O33" i="13"/>
  <c r="N33" i="13"/>
  <c r="M33" i="13"/>
  <c r="N28" i="13"/>
  <c r="N27" i="13"/>
  <c r="N26" i="13"/>
  <c r="N25" i="13"/>
  <c r="N24" i="13"/>
  <c r="N23" i="13"/>
  <c r="M28" i="13"/>
  <c r="M27" i="13"/>
  <c r="M26" i="13"/>
  <c r="M25" i="13"/>
  <c r="M24" i="13"/>
  <c r="M23" i="13"/>
  <c r="M31" i="13"/>
  <c r="M30" i="13"/>
  <c r="M29" i="13"/>
  <c r="O39" i="13" l="1"/>
  <c r="K46" i="15"/>
  <c r="J46" i="15"/>
  <c r="G6" i="15" l="1"/>
  <c r="I6" i="15" s="1"/>
  <c r="G7" i="15"/>
  <c r="I7" i="15" s="1"/>
  <c r="G8" i="15"/>
  <c r="I8" i="15" s="1"/>
  <c r="G9" i="15"/>
  <c r="I9" i="15" s="1"/>
  <c r="G10" i="15"/>
  <c r="I10" i="15" s="1"/>
  <c r="G11" i="15"/>
  <c r="I11" i="15" s="1"/>
  <c r="J11" i="15" s="1"/>
  <c r="G12" i="15"/>
  <c r="I12" i="15" s="1"/>
  <c r="J12" i="15" s="1"/>
  <c r="G13" i="15"/>
  <c r="I13" i="15" s="1"/>
  <c r="J13" i="15" s="1"/>
  <c r="G14" i="15"/>
  <c r="I14" i="15" s="1"/>
  <c r="J14" i="15" s="1"/>
  <c r="G15" i="15"/>
  <c r="I15" i="15" s="1"/>
  <c r="J15" i="15" s="1"/>
  <c r="G16" i="15"/>
  <c r="I16" i="15" s="1"/>
  <c r="J16" i="15" s="1"/>
  <c r="G17" i="15"/>
  <c r="I17" i="15" s="1"/>
  <c r="J17" i="15" s="1"/>
  <c r="G18" i="15"/>
  <c r="I18" i="15" s="1"/>
  <c r="J18" i="15" s="1"/>
  <c r="G19" i="15"/>
  <c r="I19" i="15" s="1"/>
  <c r="J19" i="15" s="1"/>
  <c r="G20" i="15"/>
  <c r="I20" i="15" s="1"/>
  <c r="J20" i="15" s="1"/>
  <c r="G21" i="15"/>
  <c r="I21" i="15" s="1"/>
  <c r="J21" i="15" s="1"/>
  <c r="G22" i="15"/>
  <c r="I22" i="15" s="1"/>
  <c r="J22" i="15" s="1"/>
  <c r="G23" i="15"/>
  <c r="I23" i="15" s="1"/>
  <c r="J23" i="15" s="1"/>
  <c r="G24" i="15"/>
  <c r="I24" i="15" s="1"/>
  <c r="J24" i="15" s="1"/>
  <c r="G25" i="15"/>
  <c r="I25" i="15" s="1"/>
  <c r="J25" i="15" s="1"/>
  <c r="G26" i="15"/>
  <c r="I26" i="15" s="1"/>
  <c r="J26" i="15" s="1"/>
  <c r="G27" i="15"/>
  <c r="I27" i="15" s="1"/>
  <c r="J27" i="15" s="1"/>
  <c r="G28" i="15"/>
  <c r="I28" i="15" s="1"/>
  <c r="J28" i="15" s="1"/>
  <c r="G29" i="15"/>
  <c r="I29" i="15" s="1"/>
  <c r="J29" i="15" s="1"/>
  <c r="G30" i="15"/>
  <c r="I30" i="15" s="1"/>
  <c r="J30" i="15" s="1"/>
  <c r="G31" i="15"/>
  <c r="I31" i="15" s="1"/>
  <c r="J31" i="15" s="1"/>
  <c r="G32" i="15"/>
  <c r="I32" i="15" s="1"/>
  <c r="J32" i="15" s="1"/>
  <c r="G33" i="15"/>
  <c r="I33" i="15" s="1"/>
  <c r="J33" i="15" s="1"/>
  <c r="G34" i="15"/>
  <c r="I34" i="15" s="1"/>
  <c r="J34" i="15" s="1"/>
  <c r="G5" i="15"/>
  <c r="J10" i="15" l="1"/>
  <c r="J6" i="15"/>
  <c r="J7" i="15"/>
  <c r="J9" i="15"/>
  <c r="I5" i="15"/>
  <c r="K5" i="15" s="1"/>
  <c r="G35" i="15"/>
  <c r="G47" i="15" s="1"/>
  <c r="K34" i="15"/>
  <c r="J8" i="15"/>
  <c r="K17" i="15"/>
  <c r="K31" i="15"/>
  <c r="K7" i="15"/>
  <c r="K28" i="15"/>
  <c r="K27" i="15"/>
  <c r="K11" i="15"/>
  <c r="K29" i="15"/>
  <c r="K21" i="15"/>
  <c r="K13" i="15"/>
  <c r="K25" i="15"/>
  <c r="K9" i="15"/>
  <c r="K15" i="15"/>
  <c r="K24" i="15"/>
  <c r="K19" i="15"/>
  <c r="K26" i="15"/>
  <c r="K18" i="15"/>
  <c r="K10" i="15"/>
  <c r="K33" i="15"/>
  <c r="K23" i="15"/>
  <c r="K32" i="15"/>
  <c r="K20" i="15"/>
  <c r="K16" i="15"/>
  <c r="K12" i="15"/>
  <c r="K8" i="15"/>
  <c r="K30" i="15"/>
  <c r="K22" i="15"/>
  <c r="K14" i="15"/>
  <c r="I35" i="15"/>
  <c r="I47" i="15" s="1"/>
  <c r="K6" i="15"/>
  <c r="M32" i="13"/>
  <c r="P15" i="13"/>
  <c r="N15" i="13"/>
  <c r="M15" i="13"/>
  <c r="P14" i="13"/>
  <c r="N14" i="13"/>
  <c r="P13" i="13"/>
  <c r="N13" i="13"/>
  <c r="M13" i="13"/>
  <c r="P12" i="13"/>
  <c r="N12" i="13"/>
  <c r="P11" i="13"/>
  <c r="N11" i="13"/>
  <c r="M11" i="13"/>
  <c r="P10" i="13"/>
  <c r="N10" i="13"/>
  <c r="M10" i="13"/>
  <c r="P9" i="13"/>
  <c r="N9" i="13"/>
  <c r="P8" i="13"/>
  <c r="N8" i="13"/>
  <c r="M8" i="13"/>
  <c r="P7" i="13"/>
  <c r="N7" i="13"/>
  <c r="P6" i="13"/>
  <c r="N6" i="13"/>
  <c r="M6" i="13"/>
  <c r="P5" i="13"/>
  <c r="N5" i="13"/>
  <c r="M5" i="13"/>
  <c r="P4" i="13"/>
  <c r="N4" i="13"/>
  <c r="N39" i="13" l="1"/>
  <c r="P39" i="13"/>
  <c r="M39" i="13"/>
  <c r="E89" i="15"/>
  <c r="E85" i="15"/>
  <c r="E88" i="15"/>
  <c r="E84" i="15"/>
  <c r="E82" i="15"/>
  <c r="E87" i="15"/>
  <c r="E83" i="15"/>
  <c r="E90" i="15"/>
  <c r="E86" i="15"/>
  <c r="J5" i="15"/>
  <c r="E55" i="15"/>
  <c r="E59" i="15"/>
  <c r="E63" i="15"/>
  <c r="E67" i="15"/>
  <c r="E71" i="15"/>
  <c r="E75" i="15"/>
  <c r="E79" i="15"/>
  <c r="K35" i="15"/>
  <c r="K47" i="15" s="1"/>
  <c r="E81" i="15"/>
  <c r="E56" i="15"/>
  <c r="E58" i="15"/>
  <c r="E64" i="15"/>
  <c r="E66" i="15"/>
  <c r="E72" i="15"/>
  <c r="E74" i="15"/>
  <c r="E80" i="15"/>
  <c r="E54" i="15"/>
  <c r="E60" i="15"/>
  <c r="E62" i="15"/>
  <c r="E68" i="15"/>
  <c r="E70" i="15"/>
  <c r="E76" i="15"/>
  <c r="E78" i="15"/>
  <c r="E65" i="15"/>
  <c r="E73" i="15"/>
  <c r="E53" i="15"/>
  <c r="E57" i="15"/>
  <c r="E61" i="15"/>
  <c r="E69" i="15"/>
  <c r="E77" i="15"/>
  <c r="R16" i="3"/>
  <c r="R17" i="3"/>
  <c r="R18" i="3"/>
  <c r="R19" i="3"/>
  <c r="R20" i="3"/>
  <c r="R21" i="3"/>
  <c r="R22" i="3"/>
  <c r="R15" i="3"/>
  <c r="Q16" i="3"/>
  <c r="Q17" i="3"/>
  <c r="Q18" i="3"/>
  <c r="Q19" i="3"/>
  <c r="Q20" i="3"/>
  <c r="Q21" i="3"/>
  <c r="Q22" i="3"/>
  <c r="V63" i="1"/>
  <c r="U63" i="1"/>
  <c r="Q15" i="3"/>
  <c r="V64" i="1"/>
  <c r="V82" i="1"/>
  <c r="V83" i="1"/>
  <c r="V84" i="1"/>
  <c r="V85" i="1"/>
  <c r="V86" i="1"/>
  <c r="V87" i="1"/>
  <c r="V88" i="1"/>
  <c r="V89" i="1"/>
  <c r="V90" i="1"/>
  <c r="V92" i="1"/>
  <c r="U64" i="1"/>
  <c r="U82" i="1"/>
  <c r="U83" i="1"/>
  <c r="U84" i="1"/>
  <c r="U85" i="1"/>
  <c r="U86" i="1"/>
  <c r="U87" i="1"/>
  <c r="U88" i="1"/>
  <c r="U89" i="1"/>
  <c r="U90" i="1"/>
  <c r="U92" i="1"/>
  <c r="S82" i="1"/>
  <c r="T82" i="1" s="1"/>
  <c r="S83" i="1"/>
  <c r="S84" i="1"/>
  <c r="T84" i="1" s="1"/>
  <c r="S85" i="1"/>
  <c r="T85" i="1" s="1"/>
  <c r="S86" i="1"/>
  <c r="T86" i="1" s="1"/>
  <c r="S87" i="1"/>
  <c r="T87" i="1" s="1"/>
  <c r="S88" i="1"/>
  <c r="T88" i="1" s="1"/>
  <c r="S89" i="1"/>
  <c r="T89" i="1" s="1"/>
  <c r="S90" i="1"/>
  <c r="T90" i="1" s="1"/>
  <c r="S92" i="1"/>
  <c r="T92" i="1" s="1"/>
  <c r="Q64" i="1"/>
  <c r="R64" i="1" s="1"/>
  <c r="Q82" i="1"/>
  <c r="R82" i="1" s="1"/>
  <c r="Q83" i="1"/>
  <c r="R83" i="1" s="1"/>
  <c r="Q84" i="1"/>
  <c r="R84" i="1" s="1"/>
  <c r="Q85" i="1"/>
  <c r="R85" i="1" s="1"/>
  <c r="Q86" i="1"/>
  <c r="R86" i="1" s="1"/>
  <c r="Q87" i="1"/>
  <c r="R87" i="1" s="1"/>
  <c r="Q88" i="1"/>
  <c r="R88" i="1" s="1"/>
  <c r="Q89" i="1"/>
  <c r="R89" i="1" s="1"/>
  <c r="Q90" i="1"/>
  <c r="R90" i="1" s="1"/>
  <c r="Q92" i="1"/>
  <c r="R92" i="1" s="1"/>
  <c r="O64" i="1"/>
  <c r="P64" i="1" s="1"/>
  <c r="O82" i="1"/>
  <c r="P82" i="1" s="1"/>
  <c r="O83" i="1"/>
  <c r="P83" i="1" s="1"/>
  <c r="O84" i="1"/>
  <c r="P84" i="1" s="1"/>
  <c r="O85" i="1"/>
  <c r="P85" i="1" s="1"/>
  <c r="O86" i="1"/>
  <c r="P86" i="1" s="1"/>
  <c r="O87" i="1"/>
  <c r="P87" i="1" s="1"/>
  <c r="O88" i="1"/>
  <c r="P88" i="1" s="1"/>
  <c r="O89" i="1"/>
  <c r="P89" i="1" s="1"/>
  <c r="O90" i="1"/>
  <c r="P90" i="1" s="1"/>
  <c r="O92" i="1"/>
  <c r="P92" i="1" s="1"/>
  <c r="M64" i="1"/>
  <c r="N64" i="1" s="1"/>
  <c r="M65" i="1"/>
  <c r="N65" i="1" s="1"/>
  <c r="M66" i="1"/>
  <c r="N66" i="1" s="1"/>
  <c r="M67" i="1"/>
  <c r="N67" i="1" s="1"/>
  <c r="M68" i="1"/>
  <c r="N68" i="1" s="1"/>
  <c r="M69" i="1"/>
  <c r="N69" i="1" s="1"/>
  <c r="M70" i="1"/>
  <c r="N70" i="1" s="1"/>
  <c r="M71" i="1"/>
  <c r="N71" i="1" s="1"/>
  <c r="M72" i="1"/>
  <c r="N72" i="1" s="1"/>
  <c r="M73" i="1"/>
  <c r="N73" i="1" s="1"/>
  <c r="M74" i="1"/>
  <c r="N74" i="1" s="1"/>
  <c r="M82" i="1"/>
  <c r="N82" i="1" s="1"/>
  <c r="M83" i="1"/>
  <c r="N83" i="1" s="1"/>
  <c r="M84" i="1"/>
  <c r="N84" i="1" s="1"/>
  <c r="M85" i="1"/>
  <c r="N85" i="1" s="1"/>
  <c r="M86" i="1"/>
  <c r="N86" i="1" s="1"/>
  <c r="M87" i="1"/>
  <c r="N87" i="1" s="1"/>
  <c r="M88" i="1"/>
  <c r="N88" i="1" s="1"/>
  <c r="M89" i="1"/>
  <c r="N89" i="1" s="1"/>
  <c r="M90" i="1"/>
  <c r="N90" i="1" s="1"/>
  <c r="M92" i="1"/>
  <c r="N92" i="1" s="1"/>
  <c r="Q63" i="1"/>
  <c r="R63" i="1" s="1"/>
  <c r="O63" i="1"/>
  <c r="P63" i="1" s="1"/>
  <c r="M63" i="1"/>
  <c r="N63" i="1" s="1"/>
  <c r="O22" i="3"/>
  <c r="P22" i="3" s="1"/>
  <c r="M22" i="3"/>
  <c r="N22" i="3" s="1"/>
  <c r="K22" i="3"/>
  <c r="L22" i="3" s="1"/>
  <c r="I22" i="3"/>
  <c r="J22" i="3" s="1"/>
  <c r="O21" i="3"/>
  <c r="P21" i="3" s="1"/>
  <c r="M21" i="3"/>
  <c r="N21" i="3" s="1"/>
  <c r="K21" i="3"/>
  <c r="L21" i="3" s="1"/>
  <c r="I21" i="3"/>
  <c r="J21" i="3" s="1"/>
  <c r="O20" i="3"/>
  <c r="P20" i="3" s="1"/>
  <c r="M20" i="3"/>
  <c r="N20" i="3" s="1"/>
  <c r="K20" i="3"/>
  <c r="L20" i="3" s="1"/>
  <c r="I20" i="3"/>
  <c r="J20" i="3" s="1"/>
  <c r="O19" i="3"/>
  <c r="P19" i="3" s="1"/>
  <c r="M19" i="3"/>
  <c r="N19" i="3" s="1"/>
  <c r="K19" i="3"/>
  <c r="L19" i="3" s="1"/>
  <c r="I19" i="3"/>
  <c r="J19" i="3" s="1"/>
  <c r="O18" i="3"/>
  <c r="P18" i="3" s="1"/>
  <c r="M18" i="3"/>
  <c r="N18" i="3" s="1"/>
  <c r="K18" i="3"/>
  <c r="L18" i="3" s="1"/>
  <c r="I18" i="3"/>
  <c r="J18" i="3" s="1"/>
  <c r="O17" i="3"/>
  <c r="P17" i="3" s="1"/>
  <c r="M17" i="3"/>
  <c r="N17" i="3" s="1"/>
  <c r="K17" i="3"/>
  <c r="L17" i="3" s="1"/>
  <c r="I17" i="3"/>
  <c r="J17" i="3" s="1"/>
  <c r="O16" i="3"/>
  <c r="P16" i="3" s="1"/>
  <c r="M16" i="3"/>
  <c r="N16" i="3" s="1"/>
  <c r="K16" i="3"/>
  <c r="L16" i="3" s="1"/>
  <c r="I16" i="3"/>
  <c r="J16" i="3" s="1"/>
  <c r="O15" i="3"/>
  <c r="P15" i="3" s="1"/>
  <c r="M15" i="3"/>
  <c r="N15" i="3" s="1"/>
  <c r="K15" i="3"/>
  <c r="L15" i="3" s="1"/>
  <c r="K25" i="3" s="1"/>
  <c r="L25" i="3" s="1"/>
  <c r="I15" i="3"/>
  <c r="J15" i="3" s="1"/>
  <c r="I25" i="3" s="1"/>
  <c r="J25" i="3" s="1"/>
  <c r="K29" i="3"/>
  <c r="K28" i="3"/>
  <c r="J35" i="15" l="1"/>
  <c r="P44" i="13"/>
  <c r="R47" i="13" s="1"/>
  <c r="S98" i="1"/>
  <c r="N98" i="1"/>
  <c r="P98" i="1"/>
  <c r="O98" i="1"/>
  <c r="T83" i="1"/>
  <c r="T98" i="1" s="1"/>
  <c r="M5" i="8"/>
  <c r="M6" i="8"/>
  <c r="R46" i="13" l="1"/>
  <c r="R45" i="13"/>
  <c r="Q16" i="1"/>
  <c r="Q15" i="1"/>
  <c r="Q14" i="1"/>
  <c r="Q13" i="1"/>
  <c r="Q12" i="1"/>
  <c r="Q11" i="1"/>
  <c r="Q10" i="1"/>
  <c r="Q9" i="1"/>
  <c r="Q8" i="1"/>
  <c r="Q7" i="1"/>
  <c r="P11" i="1"/>
  <c r="P8" i="1"/>
  <c r="P15" i="1"/>
  <c r="P14" i="1"/>
  <c r="P16" i="1"/>
  <c r="P10" i="1"/>
  <c r="P9" i="1"/>
  <c r="P13" i="1"/>
  <c r="P12" i="1"/>
  <c r="P7" i="1"/>
  <c r="Q68" i="1" l="1"/>
  <c r="R68" i="1" s="1"/>
  <c r="V68" i="1"/>
  <c r="U68" i="1"/>
  <c r="U74" i="1"/>
  <c r="V74" i="1"/>
  <c r="Q74" i="1"/>
  <c r="R74" i="1" s="1"/>
  <c r="V72" i="1"/>
  <c r="Q72" i="1"/>
  <c r="R72" i="1" s="1"/>
  <c r="U72" i="1"/>
  <c r="U73" i="1"/>
  <c r="V73" i="1"/>
  <c r="Q73" i="1"/>
  <c r="R73" i="1" s="1"/>
  <c r="U65" i="1"/>
  <c r="Q65" i="1"/>
  <c r="V65" i="1"/>
  <c r="U66" i="1"/>
  <c r="Q66" i="1"/>
  <c r="R66" i="1" s="1"/>
  <c r="V66" i="1"/>
  <c r="V70" i="1"/>
  <c r="Q70" i="1"/>
  <c r="R70" i="1" s="1"/>
  <c r="U70" i="1"/>
  <c r="V69" i="1"/>
  <c r="Q69" i="1"/>
  <c r="R69" i="1" s="1"/>
  <c r="U69" i="1"/>
  <c r="V71" i="1"/>
  <c r="U71" i="1"/>
  <c r="Q71" i="1"/>
  <c r="R71" i="1" s="1"/>
  <c r="V67" i="1"/>
  <c r="U67" i="1"/>
  <c r="Q67" i="1"/>
  <c r="R67" i="1" s="1"/>
  <c r="R65" i="1" l="1"/>
  <c r="R98" i="1" s="1"/>
  <c r="Q9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M5" authorId="0" shapeId="0" xr:uid="{00000000-0006-0000-0100-000001000000}">
      <text>
        <r>
          <rPr>
            <b/>
            <sz val="9"/>
            <color indexed="81"/>
            <rFont val="Tahoma"/>
            <family val="2"/>
          </rPr>
          <t>Lenovo:</t>
        </r>
        <r>
          <rPr>
            <sz val="9"/>
            <color indexed="81"/>
            <rFont val="Tahoma"/>
            <family val="2"/>
          </rPr>
          <t xml:space="preserve">
1</t>
        </r>
      </text>
    </comment>
    <comment ref="N5" authorId="0" shapeId="0" xr:uid="{00000000-0006-0000-0100-000002000000}">
      <text>
        <r>
          <rPr>
            <b/>
            <sz val="9"/>
            <color indexed="81"/>
            <rFont val="Tahoma"/>
            <family val="2"/>
          </rPr>
          <t>Lenovo:</t>
        </r>
        <r>
          <rPr>
            <sz val="9"/>
            <color indexed="81"/>
            <rFont val="Tahoma"/>
            <family val="2"/>
          </rPr>
          <t xml:space="preserve">
2</t>
        </r>
      </text>
    </comment>
    <comment ref="O5" authorId="0" shapeId="0" xr:uid="{00000000-0006-0000-0100-000003000000}">
      <text>
        <r>
          <rPr>
            <b/>
            <sz val="9"/>
            <color indexed="81"/>
            <rFont val="Tahoma"/>
            <family val="2"/>
          </rPr>
          <t>Lenovo:</t>
        </r>
        <r>
          <rPr>
            <sz val="9"/>
            <color indexed="81"/>
            <rFont val="Tahoma"/>
            <family val="2"/>
          </rPr>
          <t xml:space="preserve">
3</t>
        </r>
      </text>
    </comment>
    <comment ref="P5" authorId="0" shapeId="0" xr:uid="{00000000-0006-0000-0100-000004000000}">
      <text>
        <r>
          <rPr>
            <b/>
            <sz val="9"/>
            <color indexed="81"/>
            <rFont val="Tahoma"/>
            <family val="2"/>
          </rPr>
          <t>Lenovo:</t>
        </r>
        <r>
          <rPr>
            <sz val="9"/>
            <color indexed="81"/>
            <rFont val="Tahoma"/>
            <family val="2"/>
          </rPr>
          <t xml:space="preserve">
4</t>
        </r>
      </text>
    </comment>
    <comment ref="Q5" authorId="0" shapeId="0" xr:uid="{00000000-0006-0000-0100-000005000000}">
      <text>
        <r>
          <rPr>
            <b/>
            <sz val="9"/>
            <color indexed="81"/>
            <rFont val="Tahoma"/>
            <family val="2"/>
          </rPr>
          <t>Lenovo:</t>
        </r>
        <r>
          <rPr>
            <sz val="9"/>
            <color indexed="81"/>
            <rFont val="Tahoma"/>
            <family val="2"/>
          </rPr>
          <t xml:space="preserve">
5</t>
        </r>
      </text>
    </comment>
    <comment ref="S5" authorId="0" shapeId="0" xr:uid="{00000000-0006-0000-0100-000006000000}">
      <text>
        <r>
          <rPr>
            <b/>
            <sz val="9"/>
            <color indexed="81"/>
            <rFont val="Tahoma"/>
            <family val="2"/>
          </rPr>
          <t>Lenovo:</t>
        </r>
        <r>
          <rPr>
            <sz val="9"/>
            <color indexed="81"/>
            <rFont val="Tahoma"/>
            <family val="2"/>
          </rPr>
          <t xml:space="preserve">
6</t>
        </r>
      </text>
    </comment>
    <comment ref="U5" authorId="0" shapeId="0" xr:uid="{00000000-0006-0000-0100-000007000000}">
      <text>
        <r>
          <rPr>
            <b/>
            <sz val="9"/>
            <color indexed="81"/>
            <rFont val="Tahoma"/>
            <family val="2"/>
          </rPr>
          <t>Lenovo:</t>
        </r>
        <r>
          <rPr>
            <sz val="9"/>
            <color indexed="81"/>
            <rFont val="Tahoma"/>
            <family val="2"/>
          </rPr>
          <t xml:space="preserve">
6</t>
        </r>
      </text>
    </comment>
    <comment ref="S6" authorId="0" shapeId="0" xr:uid="{00000000-0006-0000-0100-000008000000}">
      <text>
        <r>
          <rPr>
            <b/>
            <sz val="9"/>
            <color indexed="81"/>
            <rFont val="Tahoma"/>
            <family val="2"/>
          </rPr>
          <t>Lenovo:</t>
        </r>
        <r>
          <rPr>
            <sz val="9"/>
            <color indexed="81"/>
            <rFont val="Tahoma"/>
            <family val="2"/>
          </rPr>
          <t xml:space="preserve">
6</t>
        </r>
      </text>
    </comment>
    <comment ref="U6" authorId="0" shapeId="0" xr:uid="{00000000-0006-0000-0100-000009000000}">
      <text>
        <r>
          <rPr>
            <b/>
            <sz val="9"/>
            <color indexed="81"/>
            <rFont val="Tahoma"/>
            <family val="2"/>
          </rPr>
          <t>Lenovo:</t>
        </r>
        <r>
          <rPr>
            <sz val="9"/>
            <color indexed="81"/>
            <rFont val="Tahoma"/>
            <family val="2"/>
          </rPr>
          <t xml:space="preserve">
6</t>
        </r>
      </text>
    </comment>
    <comment ref="M7" authorId="0" shapeId="0" xr:uid="{00000000-0006-0000-0100-00000A000000}">
      <text>
        <r>
          <rPr>
            <b/>
            <sz val="9"/>
            <color indexed="81"/>
            <rFont val="Tahoma"/>
            <family val="2"/>
          </rPr>
          <t>Lenovo:</t>
        </r>
        <r>
          <rPr>
            <sz val="9"/>
            <color indexed="81"/>
            <rFont val="Tahoma"/>
            <family val="2"/>
          </rPr>
          <t xml:space="preserve">
8</t>
        </r>
      </text>
    </comment>
    <comment ref="N7" authorId="0" shapeId="0" xr:uid="{00000000-0006-0000-0100-00000B000000}">
      <text>
        <r>
          <rPr>
            <b/>
            <sz val="9"/>
            <color indexed="81"/>
            <rFont val="Tahoma"/>
            <family val="2"/>
          </rPr>
          <t>Lenovo:</t>
        </r>
        <r>
          <rPr>
            <sz val="9"/>
            <color indexed="81"/>
            <rFont val="Tahoma"/>
            <family val="2"/>
          </rPr>
          <t xml:space="preserve">
8</t>
        </r>
      </text>
    </comment>
    <comment ref="P7" authorId="0" shapeId="0" xr:uid="{00000000-0006-0000-0100-00000C000000}">
      <text>
        <r>
          <rPr>
            <b/>
            <sz val="9"/>
            <color indexed="81"/>
            <rFont val="Tahoma"/>
            <family val="2"/>
          </rPr>
          <t>Lenovo:</t>
        </r>
        <r>
          <rPr>
            <sz val="9"/>
            <color indexed="81"/>
            <rFont val="Tahoma"/>
            <family val="2"/>
          </rPr>
          <t xml:space="preserve">
9</t>
        </r>
      </text>
    </comment>
    <comment ref="Q7" authorId="0" shapeId="0" xr:uid="{00000000-0006-0000-0100-00000D000000}">
      <text>
        <r>
          <rPr>
            <b/>
            <sz val="9"/>
            <color indexed="81"/>
            <rFont val="Tahoma"/>
            <family val="2"/>
          </rPr>
          <t>Lenovo:</t>
        </r>
        <r>
          <rPr>
            <sz val="9"/>
            <color indexed="81"/>
            <rFont val="Tahoma"/>
            <family val="2"/>
          </rPr>
          <t xml:space="preserve">
10</t>
        </r>
      </text>
    </comment>
    <comment ref="M24" authorId="0" shapeId="0" xr:uid="{00000000-0006-0000-0100-00000E000000}">
      <text>
        <r>
          <rPr>
            <b/>
            <sz val="9"/>
            <color indexed="81"/>
            <rFont val="Tahoma"/>
            <family val="2"/>
          </rPr>
          <t>Lenovo:</t>
        </r>
        <r>
          <rPr>
            <sz val="9"/>
            <color indexed="81"/>
            <rFont val="Tahoma"/>
            <family val="2"/>
          </rPr>
          <t xml:space="preserve">
11
</t>
        </r>
      </text>
    </comment>
    <comment ref="N24" authorId="0" shapeId="0" xr:uid="{00000000-0006-0000-0100-00000F000000}">
      <text>
        <r>
          <rPr>
            <b/>
            <sz val="9"/>
            <color indexed="81"/>
            <rFont val="Tahoma"/>
            <family val="2"/>
          </rPr>
          <t>Lenovo:</t>
        </r>
        <r>
          <rPr>
            <sz val="9"/>
            <color indexed="81"/>
            <rFont val="Tahoma"/>
            <family val="2"/>
          </rPr>
          <t xml:space="preserve">
11</t>
        </r>
      </text>
    </comment>
    <comment ref="O24" authorId="0" shapeId="0" xr:uid="{00000000-0006-0000-0100-000010000000}">
      <text>
        <r>
          <rPr>
            <b/>
            <sz val="9"/>
            <color indexed="81"/>
            <rFont val="Tahoma"/>
            <family val="2"/>
          </rPr>
          <t>Lenovo:</t>
        </r>
        <r>
          <rPr>
            <sz val="9"/>
            <color indexed="81"/>
            <rFont val="Tahoma"/>
            <family val="2"/>
          </rPr>
          <t xml:space="preserve">
11
</t>
        </r>
      </text>
    </comment>
    <comment ref="P24" authorId="0" shapeId="0" xr:uid="{00000000-0006-0000-0100-000011000000}">
      <text>
        <r>
          <rPr>
            <b/>
            <sz val="9"/>
            <color indexed="81"/>
            <rFont val="Tahoma"/>
            <family val="2"/>
          </rPr>
          <t>Lenovo:</t>
        </r>
        <r>
          <rPr>
            <sz val="9"/>
            <color indexed="81"/>
            <rFont val="Tahoma"/>
            <family val="2"/>
          </rPr>
          <t xml:space="preserve">
12</t>
        </r>
      </text>
    </comment>
    <comment ref="Q24" authorId="0" shapeId="0" xr:uid="{00000000-0006-0000-0100-000012000000}">
      <text>
        <r>
          <rPr>
            <b/>
            <sz val="9"/>
            <color indexed="81"/>
            <rFont val="Tahoma"/>
            <family val="2"/>
          </rPr>
          <t>Lenovo:</t>
        </r>
        <r>
          <rPr>
            <sz val="9"/>
            <color indexed="81"/>
            <rFont val="Tahoma"/>
            <family val="2"/>
          </rPr>
          <t xml:space="preserve">
12</t>
        </r>
      </text>
    </comment>
    <comment ref="R24" authorId="0" shapeId="0" xr:uid="{00000000-0006-0000-0100-000013000000}">
      <text>
        <r>
          <rPr>
            <b/>
            <sz val="9"/>
            <color indexed="81"/>
            <rFont val="Tahoma"/>
            <family val="2"/>
          </rPr>
          <t>Lenovo:</t>
        </r>
        <r>
          <rPr>
            <sz val="9"/>
            <color indexed="81"/>
            <rFont val="Tahoma"/>
            <family val="2"/>
          </rPr>
          <t xml:space="preserve">
12</t>
        </r>
      </text>
    </comment>
    <comment ref="S24" authorId="0" shapeId="0" xr:uid="{00000000-0006-0000-0100-000014000000}">
      <text>
        <r>
          <rPr>
            <b/>
            <sz val="9"/>
            <color indexed="81"/>
            <rFont val="Tahoma"/>
            <family val="2"/>
          </rPr>
          <t>Lenovo:</t>
        </r>
        <r>
          <rPr>
            <sz val="9"/>
            <color indexed="81"/>
            <rFont val="Tahoma"/>
            <family val="2"/>
          </rPr>
          <t xml:space="preserve">
13</t>
        </r>
      </text>
    </comment>
    <comment ref="M30" authorId="0" shapeId="0" xr:uid="{00000000-0006-0000-0100-000015000000}">
      <text>
        <r>
          <rPr>
            <b/>
            <sz val="9"/>
            <color indexed="81"/>
            <rFont val="Tahoma"/>
            <family val="2"/>
          </rPr>
          <t>Lenovo:</t>
        </r>
        <r>
          <rPr>
            <sz val="9"/>
            <color indexed="81"/>
            <rFont val="Tahoma"/>
            <family val="2"/>
          </rPr>
          <t xml:space="preserve">
14</t>
        </r>
      </text>
    </comment>
    <comment ref="N30" authorId="0" shapeId="0" xr:uid="{00000000-0006-0000-0100-000016000000}">
      <text>
        <r>
          <rPr>
            <b/>
            <sz val="9"/>
            <color indexed="81"/>
            <rFont val="Tahoma"/>
            <family val="2"/>
          </rPr>
          <t>Lenovo:</t>
        </r>
        <r>
          <rPr>
            <sz val="9"/>
            <color indexed="81"/>
            <rFont val="Tahoma"/>
            <family val="2"/>
          </rPr>
          <t xml:space="preserve">
14</t>
        </r>
      </text>
    </comment>
    <comment ref="O30" authorId="0" shapeId="0" xr:uid="{00000000-0006-0000-0100-000017000000}">
      <text>
        <r>
          <rPr>
            <b/>
            <sz val="9"/>
            <color indexed="81"/>
            <rFont val="Tahoma"/>
            <family val="2"/>
          </rPr>
          <t>Lenovo:</t>
        </r>
        <r>
          <rPr>
            <sz val="9"/>
            <color indexed="81"/>
            <rFont val="Tahoma"/>
            <family val="2"/>
          </rPr>
          <t xml:space="preserve">
14</t>
        </r>
      </text>
    </comment>
    <comment ref="P30" authorId="0" shapeId="0" xr:uid="{00000000-0006-0000-0100-000018000000}">
      <text>
        <r>
          <rPr>
            <b/>
            <sz val="9"/>
            <color indexed="81"/>
            <rFont val="Tahoma"/>
            <family val="2"/>
          </rPr>
          <t>Lenovo:</t>
        </r>
        <r>
          <rPr>
            <sz val="9"/>
            <color indexed="81"/>
            <rFont val="Tahoma"/>
            <family val="2"/>
          </rPr>
          <t xml:space="preserve">
15</t>
        </r>
      </text>
    </comment>
    <comment ref="Q30" authorId="0" shapeId="0" xr:uid="{00000000-0006-0000-0100-000019000000}">
      <text>
        <r>
          <rPr>
            <b/>
            <sz val="9"/>
            <color indexed="81"/>
            <rFont val="Tahoma"/>
            <family val="2"/>
          </rPr>
          <t>Lenovo:</t>
        </r>
        <r>
          <rPr>
            <sz val="9"/>
            <color indexed="81"/>
            <rFont val="Tahoma"/>
            <family val="2"/>
          </rPr>
          <t xml:space="preserve">
15</t>
        </r>
      </text>
    </comment>
    <comment ref="R30" authorId="0" shapeId="0" xr:uid="{00000000-0006-0000-0100-00001A000000}">
      <text>
        <r>
          <rPr>
            <b/>
            <sz val="9"/>
            <color indexed="81"/>
            <rFont val="Tahoma"/>
            <family val="2"/>
          </rPr>
          <t>Lenovo:</t>
        </r>
        <r>
          <rPr>
            <sz val="9"/>
            <color indexed="81"/>
            <rFont val="Tahoma"/>
            <family val="2"/>
          </rPr>
          <t xml:space="preserve">
15</t>
        </r>
      </text>
    </comment>
    <comment ref="P33" authorId="0" shapeId="0" xr:uid="{00000000-0006-0000-0100-00001B000000}">
      <text>
        <r>
          <rPr>
            <b/>
            <sz val="9"/>
            <color indexed="81"/>
            <rFont val="Tahoma"/>
            <family val="2"/>
          </rPr>
          <t>Lenovo:</t>
        </r>
        <r>
          <rPr>
            <sz val="9"/>
            <color indexed="81"/>
            <rFont val="Tahoma"/>
            <family val="2"/>
          </rPr>
          <t xml:space="preserve">
17</t>
        </r>
      </text>
    </comment>
    <comment ref="T33" authorId="0" shapeId="0" xr:uid="{00000000-0006-0000-0100-00001C000000}">
      <text>
        <r>
          <rPr>
            <b/>
            <sz val="9"/>
            <color indexed="81"/>
            <rFont val="Tahoma"/>
            <family val="2"/>
          </rPr>
          <t>Lenovo:</t>
        </r>
        <r>
          <rPr>
            <sz val="9"/>
            <color indexed="81"/>
            <rFont val="Tahoma"/>
            <family val="2"/>
          </rPr>
          <t xml:space="preserve">
16</t>
        </r>
      </text>
    </comment>
    <comment ref="P36" authorId="0" shapeId="0" xr:uid="{00000000-0006-0000-0100-00001D000000}">
      <text>
        <r>
          <rPr>
            <b/>
            <sz val="9"/>
            <color indexed="81"/>
            <rFont val="Tahoma"/>
            <family val="2"/>
          </rPr>
          <t>Lenovo:</t>
        </r>
        <r>
          <rPr>
            <sz val="9"/>
            <color indexed="81"/>
            <rFont val="Tahoma"/>
            <family val="2"/>
          </rPr>
          <t xml:space="preserve">
17</t>
        </r>
      </text>
    </comment>
    <comment ref="T36" authorId="0" shapeId="0" xr:uid="{00000000-0006-0000-0100-00001E000000}">
      <text>
        <r>
          <rPr>
            <b/>
            <sz val="9"/>
            <color indexed="81"/>
            <rFont val="Tahoma"/>
            <family val="2"/>
          </rPr>
          <t>Lenovo:</t>
        </r>
        <r>
          <rPr>
            <sz val="9"/>
            <color indexed="81"/>
            <rFont val="Tahoma"/>
            <family val="2"/>
          </rPr>
          <t xml:space="preserve">
16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Yina Marcela Carrera Rodríguez</author>
  </authors>
  <commentList>
    <comment ref="M5" authorId="0" shapeId="0" xr:uid="{00000000-0006-0000-0300-000001000000}">
      <text>
        <r>
          <rPr>
            <b/>
            <sz val="9"/>
            <color indexed="81"/>
            <rFont val="Tahoma"/>
            <charset val="1"/>
          </rPr>
          <t>Yina Marcela Carrera Rodríguez:</t>
        </r>
        <r>
          <rPr>
            <sz val="9"/>
            <color indexed="81"/>
            <rFont val="Tahoma"/>
            <charset val="1"/>
          </rPr>
          <t xml:space="preserve">
1</t>
        </r>
      </text>
    </comment>
    <comment ref="N5" authorId="0" shapeId="0" xr:uid="{00000000-0006-0000-0300-000002000000}">
      <text>
        <r>
          <rPr>
            <b/>
            <sz val="9"/>
            <color indexed="81"/>
            <rFont val="Tahoma"/>
            <charset val="1"/>
          </rPr>
          <t>Yina Marcela Carrera Rodríguez:</t>
        </r>
        <r>
          <rPr>
            <sz val="9"/>
            <color indexed="81"/>
            <rFont val="Tahoma"/>
            <charset val="1"/>
          </rPr>
          <t xml:space="preserve">
2</t>
        </r>
      </text>
    </comment>
    <comment ref="P5" authorId="0" shapeId="0" xr:uid="{00000000-0006-0000-0300-000003000000}">
      <text>
        <r>
          <rPr>
            <b/>
            <sz val="9"/>
            <color indexed="81"/>
            <rFont val="Tahoma"/>
            <family val="2"/>
          </rPr>
          <t>Yina Marcela Carrera Rodríguez:</t>
        </r>
        <r>
          <rPr>
            <sz val="9"/>
            <color indexed="81"/>
            <rFont val="Tahoma"/>
            <family val="2"/>
          </rPr>
          <t xml:space="preserve">
2</t>
        </r>
      </text>
    </comment>
    <comment ref="M7" authorId="0" shapeId="0" xr:uid="{00000000-0006-0000-0300-000004000000}">
      <text>
        <r>
          <rPr>
            <b/>
            <sz val="9"/>
            <color indexed="81"/>
            <rFont val="Tahoma"/>
            <charset val="1"/>
          </rPr>
          <t>Yina Marcela Carrera Rodríguez:</t>
        </r>
        <r>
          <rPr>
            <sz val="9"/>
            <color indexed="81"/>
            <rFont val="Tahoma"/>
            <charset val="1"/>
          </rPr>
          <t xml:space="preserve">
3</t>
        </r>
      </text>
    </comment>
    <comment ref="N7" authorId="0" shapeId="0" xr:uid="{00000000-0006-0000-0300-000005000000}">
      <text>
        <r>
          <rPr>
            <b/>
            <sz val="9"/>
            <color indexed="81"/>
            <rFont val="Tahoma"/>
            <charset val="1"/>
          </rPr>
          <t>Yina Marcela Carrera Rodríguez:</t>
        </r>
        <r>
          <rPr>
            <sz val="9"/>
            <color indexed="81"/>
            <rFont val="Tahoma"/>
            <charset val="1"/>
          </rPr>
          <t xml:space="preserve">
4</t>
        </r>
      </text>
    </comment>
    <comment ref="N19" authorId="0" shapeId="0" xr:uid="{00000000-0006-0000-0300-000006000000}">
      <text>
        <r>
          <rPr>
            <b/>
            <sz val="9"/>
            <color indexed="81"/>
            <rFont val="Tahoma"/>
            <family val="2"/>
          </rPr>
          <t>Yina Marcela Carrera Rodríguez:</t>
        </r>
        <r>
          <rPr>
            <sz val="9"/>
            <color indexed="81"/>
            <rFont val="Tahoma"/>
            <family val="2"/>
          </rPr>
          <t xml:space="preserve">
6</t>
        </r>
      </text>
    </comment>
    <comment ref="P19" authorId="0" shapeId="0" xr:uid="{00000000-0006-0000-0300-000007000000}">
      <text>
        <r>
          <rPr>
            <b/>
            <sz val="9"/>
            <color indexed="81"/>
            <rFont val="Tahoma"/>
            <family val="2"/>
          </rPr>
          <t>Yina Marcela Carrera Rodríguez:</t>
        </r>
        <r>
          <rPr>
            <sz val="9"/>
            <color indexed="81"/>
            <rFont val="Tahoma"/>
            <family val="2"/>
          </rPr>
          <t xml:space="preserve">
6</t>
        </r>
      </text>
    </comment>
    <comment ref="M24" authorId="0" shapeId="0" xr:uid="{00000000-0006-0000-0300-000008000000}">
      <text>
        <r>
          <rPr>
            <b/>
            <sz val="9"/>
            <color indexed="81"/>
            <rFont val="Tahoma"/>
            <family val="2"/>
          </rPr>
          <t>Yina Marcela Carrera Rodríguez:</t>
        </r>
        <r>
          <rPr>
            <sz val="9"/>
            <color indexed="81"/>
            <rFont val="Tahoma"/>
            <family val="2"/>
          </rPr>
          <t xml:space="preserve">
5</t>
        </r>
      </text>
    </comment>
    <comment ref="N24" authorId="0" shapeId="0" xr:uid="{00000000-0006-0000-0300-000009000000}">
      <text>
        <r>
          <rPr>
            <b/>
            <sz val="9"/>
            <color indexed="81"/>
            <rFont val="Tahoma"/>
            <family val="2"/>
          </rPr>
          <t>Yina Marcela Carrera Rodríguez:</t>
        </r>
        <r>
          <rPr>
            <sz val="9"/>
            <color indexed="81"/>
            <rFont val="Tahoma"/>
            <family val="2"/>
          </rPr>
          <t xml:space="preserve">
5</t>
        </r>
      </text>
    </comment>
    <comment ref="M30" authorId="0" shapeId="0" xr:uid="{00000000-0006-0000-0300-00000A000000}">
      <text>
        <r>
          <rPr>
            <b/>
            <sz val="9"/>
            <color indexed="81"/>
            <rFont val="Tahoma"/>
            <family val="2"/>
          </rPr>
          <t>Yina Marcela Carrera Rodríguez:</t>
        </r>
        <r>
          <rPr>
            <sz val="9"/>
            <color indexed="81"/>
            <rFont val="Tahoma"/>
            <family val="2"/>
          </rPr>
          <t xml:space="preserve">
7</t>
        </r>
      </text>
    </comment>
    <comment ref="N30" authorId="0" shapeId="0" xr:uid="{00000000-0006-0000-0300-00000B000000}">
      <text>
        <r>
          <rPr>
            <b/>
            <sz val="9"/>
            <color indexed="81"/>
            <rFont val="Tahoma"/>
            <family val="2"/>
          </rPr>
          <t>Yina Marcela Carrera Rodríguez:</t>
        </r>
        <r>
          <rPr>
            <sz val="9"/>
            <color indexed="81"/>
            <rFont val="Tahoma"/>
            <family val="2"/>
          </rPr>
          <t xml:space="preserve">
7</t>
        </r>
      </text>
    </comment>
    <comment ref="M33" authorId="0" shapeId="0" xr:uid="{00000000-0006-0000-0300-00000C000000}">
      <text>
        <r>
          <rPr>
            <b/>
            <sz val="9"/>
            <color indexed="81"/>
            <rFont val="Tahoma"/>
            <family val="2"/>
          </rPr>
          <t>Yina Marcela Carrera Rodríguez:</t>
        </r>
        <r>
          <rPr>
            <sz val="9"/>
            <color indexed="81"/>
            <rFont val="Tahoma"/>
            <family val="2"/>
          </rPr>
          <t xml:space="preserve">
8</t>
        </r>
      </text>
    </comment>
    <comment ref="N33" authorId="0" shapeId="0" xr:uid="{00000000-0006-0000-0300-00000D000000}">
      <text>
        <r>
          <rPr>
            <b/>
            <sz val="9"/>
            <color indexed="81"/>
            <rFont val="Tahoma"/>
            <family val="2"/>
          </rPr>
          <t>Yina Marcela Carrera Rodríguez:</t>
        </r>
        <r>
          <rPr>
            <sz val="9"/>
            <color indexed="81"/>
            <rFont val="Tahoma"/>
            <family val="2"/>
          </rPr>
          <t xml:space="preserve">
9</t>
        </r>
      </text>
    </comment>
    <comment ref="P33" authorId="0" shapeId="0" xr:uid="{00000000-0006-0000-0300-00000E000000}">
      <text>
        <r>
          <rPr>
            <b/>
            <sz val="9"/>
            <color indexed="81"/>
            <rFont val="Tahoma"/>
            <family val="2"/>
          </rPr>
          <t>Yina Marcela Carrera Rodríguez:</t>
        </r>
        <r>
          <rPr>
            <sz val="9"/>
            <color indexed="81"/>
            <rFont val="Tahoma"/>
            <family val="2"/>
          </rPr>
          <t xml:space="preserve">
10</t>
        </r>
      </text>
    </comment>
    <comment ref="M34" authorId="0" shapeId="0" xr:uid="{00000000-0006-0000-0300-00000F000000}">
      <text>
        <r>
          <rPr>
            <b/>
            <sz val="9"/>
            <color indexed="81"/>
            <rFont val="Tahoma"/>
            <family val="2"/>
          </rPr>
          <t>Yina Marcela Carrera Rodríguez:</t>
        </r>
        <r>
          <rPr>
            <sz val="9"/>
            <color indexed="81"/>
            <rFont val="Tahoma"/>
            <family val="2"/>
          </rPr>
          <t xml:space="preserve">
5</t>
        </r>
      </text>
    </comment>
    <comment ref="N34" authorId="0" shapeId="0" xr:uid="{00000000-0006-0000-0300-000010000000}">
      <text>
        <r>
          <rPr>
            <b/>
            <sz val="9"/>
            <color indexed="81"/>
            <rFont val="Tahoma"/>
            <family val="2"/>
          </rPr>
          <t>Yina Marcela Carrera Rodríguez:</t>
        </r>
        <r>
          <rPr>
            <sz val="9"/>
            <color indexed="81"/>
            <rFont val="Tahoma"/>
            <family val="2"/>
          </rPr>
          <t xml:space="preserve">
5</t>
        </r>
      </text>
    </comment>
    <comment ref="M36" authorId="0" shapeId="0" xr:uid="{00000000-0006-0000-0300-000011000000}">
      <text>
        <r>
          <rPr>
            <b/>
            <sz val="9"/>
            <color indexed="81"/>
            <rFont val="Tahoma"/>
            <family val="2"/>
          </rPr>
          <t>Yina Marcela Carrera Rodríguez:</t>
        </r>
        <r>
          <rPr>
            <sz val="9"/>
            <color indexed="81"/>
            <rFont val="Tahoma"/>
            <family val="2"/>
          </rPr>
          <t xml:space="preserve">
8</t>
        </r>
      </text>
    </comment>
    <comment ref="N36" authorId="0" shapeId="0" xr:uid="{00000000-0006-0000-0300-000012000000}">
      <text>
        <r>
          <rPr>
            <b/>
            <sz val="9"/>
            <color indexed="81"/>
            <rFont val="Tahoma"/>
            <family val="2"/>
          </rPr>
          <t>Yina Marcela Carrera Rodríguez:</t>
        </r>
        <r>
          <rPr>
            <sz val="9"/>
            <color indexed="81"/>
            <rFont val="Tahoma"/>
            <family val="2"/>
          </rPr>
          <t xml:space="preserve">
9</t>
        </r>
      </text>
    </comment>
    <comment ref="P36" authorId="0" shapeId="0" xr:uid="{00000000-0006-0000-0300-000013000000}">
      <text>
        <r>
          <rPr>
            <b/>
            <sz val="9"/>
            <color indexed="81"/>
            <rFont val="Tahoma"/>
            <family val="2"/>
          </rPr>
          <t>Yina Marcela Carrera Rodríguez:</t>
        </r>
        <r>
          <rPr>
            <sz val="9"/>
            <color indexed="81"/>
            <rFont val="Tahoma"/>
            <family val="2"/>
          </rPr>
          <t xml:space="preserve">
10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M4" authorId="0" shapeId="0" xr:uid="{00000000-0006-0000-0400-000001000000}">
      <text>
        <r>
          <rPr>
            <b/>
            <sz val="9"/>
            <color indexed="81"/>
            <rFont val="Tahoma"/>
            <family val="2"/>
          </rPr>
          <t>Lenovo:</t>
        </r>
        <r>
          <rPr>
            <sz val="9"/>
            <color indexed="81"/>
            <rFont val="Tahoma"/>
            <family val="2"/>
          </rPr>
          <t xml:space="preserve">
1</t>
        </r>
      </text>
    </comment>
    <comment ref="N4" authorId="0" shapeId="0" xr:uid="{00000000-0006-0000-0400-000002000000}">
      <text>
        <r>
          <rPr>
            <b/>
            <sz val="9"/>
            <color indexed="81"/>
            <rFont val="Tahoma"/>
            <family val="2"/>
          </rPr>
          <t>Lenovo:</t>
        </r>
        <r>
          <rPr>
            <sz val="9"/>
            <color indexed="81"/>
            <rFont val="Tahoma"/>
            <family val="2"/>
          </rPr>
          <t xml:space="preserve">
1</t>
        </r>
      </text>
    </comment>
    <comment ref="P4" authorId="0" shapeId="0" xr:uid="{00000000-0006-0000-0400-000003000000}">
      <text>
        <r>
          <rPr>
            <b/>
            <sz val="9"/>
            <color indexed="81"/>
            <rFont val="Tahoma"/>
            <family val="2"/>
          </rPr>
          <t>Lenovo:</t>
        </r>
        <r>
          <rPr>
            <sz val="9"/>
            <color indexed="81"/>
            <rFont val="Tahoma"/>
            <family val="2"/>
          </rPr>
          <t xml:space="preserve">
1</t>
        </r>
      </text>
    </comment>
    <comment ref="M6" authorId="0" shapeId="0" xr:uid="{00000000-0006-0000-0400-000004000000}">
      <text>
        <r>
          <rPr>
            <b/>
            <sz val="9"/>
            <color indexed="81"/>
            <rFont val="Tahoma"/>
            <family val="2"/>
          </rPr>
          <t>Lenovo:</t>
        </r>
        <r>
          <rPr>
            <sz val="9"/>
            <color indexed="81"/>
            <rFont val="Tahoma"/>
            <family val="2"/>
          </rPr>
          <t xml:space="preserve">
2</t>
        </r>
      </text>
    </comment>
    <comment ref="N6" authorId="0" shapeId="0" xr:uid="{00000000-0006-0000-0400-000005000000}">
      <text>
        <r>
          <rPr>
            <b/>
            <sz val="9"/>
            <color indexed="81"/>
            <rFont val="Tahoma"/>
            <family val="2"/>
          </rPr>
          <t>Lenovo:</t>
        </r>
        <r>
          <rPr>
            <sz val="9"/>
            <color indexed="81"/>
            <rFont val="Tahoma"/>
            <family val="2"/>
          </rPr>
          <t xml:space="preserve">
2</t>
        </r>
      </text>
    </comment>
    <comment ref="P6" authorId="0" shapeId="0" xr:uid="{00000000-0006-0000-0400-000006000000}">
      <text>
        <r>
          <rPr>
            <b/>
            <sz val="9"/>
            <color indexed="81"/>
            <rFont val="Tahoma"/>
            <family val="2"/>
          </rPr>
          <t>Lenovo:</t>
        </r>
        <r>
          <rPr>
            <sz val="9"/>
            <color indexed="81"/>
            <rFont val="Tahoma"/>
            <family val="2"/>
          </rPr>
          <t xml:space="preserve">
2</t>
        </r>
      </text>
    </comment>
    <comment ref="M29" authorId="0" shapeId="0" xr:uid="{00000000-0006-0000-0400-000007000000}">
      <text>
        <r>
          <rPr>
            <b/>
            <sz val="9"/>
            <color indexed="81"/>
            <rFont val="Tahoma"/>
            <family val="2"/>
          </rPr>
          <t>Lenovo:</t>
        </r>
        <r>
          <rPr>
            <sz val="9"/>
            <color indexed="81"/>
            <rFont val="Tahoma"/>
            <family val="2"/>
          </rPr>
          <t xml:space="preserve">
7</t>
        </r>
      </text>
    </comment>
    <comment ref="P29" authorId="0" shapeId="0" xr:uid="{00000000-0006-0000-0400-000008000000}">
      <text>
        <r>
          <rPr>
            <b/>
            <sz val="9"/>
            <color indexed="81"/>
            <rFont val="Tahoma"/>
            <family val="2"/>
          </rPr>
          <t>Lenovo:</t>
        </r>
        <r>
          <rPr>
            <sz val="9"/>
            <color indexed="81"/>
            <rFont val="Tahoma"/>
            <family val="2"/>
          </rPr>
          <t xml:space="preserve">
3</t>
        </r>
      </text>
    </comment>
    <comment ref="M30" authorId="0" shapeId="0" xr:uid="{00000000-0006-0000-0400-000009000000}">
      <text>
        <r>
          <rPr>
            <b/>
            <sz val="9"/>
            <color indexed="81"/>
            <rFont val="Tahoma"/>
            <family val="2"/>
          </rPr>
          <t>Lenovo:</t>
        </r>
        <r>
          <rPr>
            <sz val="9"/>
            <color indexed="81"/>
            <rFont val="Tahoma"/>
            <family val="2"/>
          </rPr>
          <t xml:space="preserve">
7</t>
        </r>
      </text>
    </comment>
    <comment ref="P30" authorId="0" shapeId="0" xr:uid="{00000000-0006-0000-0400-00000A000000}">
      <text>
        <r>
          <rPr>
            <b/>
            <sz val="9"/>
            <color indexed="81"/>
            <rFont val="Tahoma"/>
            <family val="2"/>
          </rPr>
          <t>Lenovo:</t>
        </r>
        <r>
          <rPr>
            <sz val="9"/>
            <color indexed="81"/>
            <rFont val="Tahoma"/>
            <family val="2"/>
          </rPr>
          <t xml:space="preserve">
4</t>
        </r>
      </text>
    </comment>
    <comment ref="M31" authorId="0" shapeId="0" xr:uid="{00000000-0006-0000-0400-00000B000000}">
      <text>
        <r>
          <rPr>
            <b/>
            <sz val="9"/>
            <color indexed="81"/>
            <rFont val="Tahoma"/>
            <family val="2"/>
          </rPr>
          <t>Lenovo:</t>
        </r>
        <r>
          <rPr>
            <sz val="9"/>
            <color indexed="81"/>
            <rFont val="Tahoma"/>
            <family val="2"/>
          </rPr>
          <t xml:space="preserve">
7</t>
        </r>
      </text>
    </comment>
    <comment ref="P31" authorId="0" shapeId="0" xr:uid="{00000000-0006-0000-0400-00000C000000}">
      <text>
        <r>
          <rPr>
            <b/>
            <sz val="9"/>
            <color indexed="81"/>
            <rFont val="Tahoma"/>
            <family val="2"/>
          </rPr>
          <t>Lenovo:</t>
        </r>
        <r>
          <rPr>
            <sz val="9"/>
            <color indexed="81"/>
            <rFont val="Tahoma"/>
            <family val="2"/>
          </rPr>
          <t xml:space="preserve">
5</t>
        </r>
      </text>
    </comment>
    <comment ref="M32" authorId="0" shapeId="0" xr:uid="{00000000-0006-0000-0400-00000D000000}">
      <text>
        <r>
          <rPr>
            <b/>
            <sz val="9"/>
            <color indexed="81"/>
            <rFont val="Tahoma"/>
            <family val="2"/>
          </rPr>
          <t>Lenovo:</t>
        </r>
        <r>
          <rPr>
            <sz val="9"/>
            <color indexed="81"/>
            <rFont val="Tahoma"/>
            <family val="2"/>
          </rPr>
          <t xml:space="preserve">
6</t>
        </r>
      </text>
    </comment>
    <comment ref="N32" authorId="0" shapeId="0" xr:uid="{00000000-0006-0000-0400-00000E000000}">
      <text>
        <r>
          <rPr>
            <b/>
            <sz val="9"/>
            <color indexed="81"/>
            <rFont val="Tahoma"/>
            <family val="2"/>
          </rPr>
          <t>Lenovo:</t>
        </r>
        <r>
          <rPr>
            <sz val="9"/>
            <color indexed="81"/>
            <rFont val="Tahoma"/>
            <family val="2"/>
          </rPr>
          <t xml:space="preserve">
6</t>
        </r>
      </text>
    </comment>
    <comment ref="P32" authorId="0" shapeId="0" xr:uid="{00000000-0006-0000-0400-00000F000000}">
      <text>
        <r>
          <rPr>
            <b/>
            <sz val="9"/>
            <color indexed="81"/>
            <rFont val="Tahoma"/>
            <family val="2"/>
          </rPr>
          <t>Lenovo:</t>
        </r>
        <r>
          <rPr>
            <sz val="9"/>
            <color indexed="81"/>
            <rFont val="Tahoma"/>
            <family val="2"/>
          </rPr>
          <t xml:space="preserve">
6</t>
        </r>
      </text>
    </comment>
    <comment ref="M35" authorId="0" shapeId="0" xr:uid="{00000000-0006-0000-0400-000010000000}">
      <text>
        <r>
          <rPr>
            <b/>
            <sz val="9"/>
            <color indexed="81"/>
            <rFont val="Tahoma"/>
            <family val="2"/>
          </rPr>
          <t>Lenovo:</t>
        </r>
        <r>
          <rPr>
            <sz val="9"/>
            <color indexed="81"/>
            <rFont val="Tahoma"/>
            <family val="2"/>
          </rPr>
          <t xml:space="preserve">
6</t>
        </r>
      </text>
    </comment>
    <comment ref="N35" authorId="0" shapeId="0" xr:uid="{00000000-0006-0000-0400-000011000000}">
      <text>
        <r>
          <rPr>
            <b/>
            <sz val="9"/>
            <color indexed="81"/>
            <rFont val="Tahoma"/>
            <family val="2"/>
          </rPr>
          <t>Lenovo:</t>
        </r>
        <r>
          <rPr>
            <sz val="9"/>
            <color indexed="81"/>
            <rFont val="Tahoma"/>
            <family val="2"/>
          </rPr>
          <t xml:space="preserve">
6</t>
        </r>
      </text>
    </comment>
    <comment ref="O35" authorId="0" shapeId="0" xr:uid="{00000000-0006-0000-0400-000012000000}">
      <text>
        <r>
          <rPr>
            <b/>
            <sz val="9"/>
            <color indexed="81"/>
            <rFont val="Tahoma"/>
            <family val="2"/>
          </rPr>
          <t>Lenovo:</t>
        </r>
        <r>
          <rPr>
            <sz val="9"/>
            <color indexed="81"/>
            <rFont val="Tahoma"/>
            <family val="2"/>
          </rPr>
          <t xml:space="preserve">
6</t>
        </r>
      </text>
    </comment>
    <comment ref="P35" authorId="0" shapeId="0" xr:uid="{00000000-0006-0000-0400-000013000000}">
      <text>
        <r>
          <rPr>
            <b/>
            <sz val="9"/>
            <color indexed="81"/>
            <rFont val="Tahoma"/>
            <family val="2"/>
          </rPr>
          <t>Lenovo:</t>
        </r>
        <r>
          <rPr>
            <sz val="9"/>
            <color indexed="81"/>
            <rFont val="Tahoma"/>
            <family val="2"/>
          </rPr>
          <t xml:space="preserve">
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L5" authorId="0" shapeId="0" xr:uid="{00000000-0006-0000-0700-000001000000}">
      <text>
        <r>
          <rPr>
            <b/>
            <sz val="9"/>
            <color indexed="81"/>
            <rFont val="Tahoma"/>
            <family val="2"/>
          </rPr>
          <t>Lenovo:</t>
        </r>
        <r>
          <rPr>
            <sz val="9"/>
            <color indexed="81"/>
            <rFont val="Tahoma"/>
            <family val="2"/>
          </rPr>
          <t xml:space="preserve">
2</t>
        </r>
      </text>
    </comment>
    <comment ref="N5" authorId="0" shapeId="0" xr:uid="{00000000-0006-0000-0700-000002000000}">
      <text>
        <r>
          <rPr>
            <b/>
            <sz val="9"/>
            <color indexed="81"/>
            <rFont val="Tahoma"/>
            <family val="2"/>
          </rPr>
          <t>Lenovo:</t>
        </r>
        <r>
          <rPr>
            <sz val="9"/>
            <color indexed="81"/>
            <rFont val="Tahoma"/>
            <family val="2"/>
          </rPr>
          <t xml:space="preserve">
2</t>
        </r>
      </text>
    </comment>
    <comment ref="L7" authorId="0" shapeId="0" xr:uid="{00000000-0006-0000-0700-000003000000}">
      <text>
        <r>
          <rPr>
            <b/>
            <sz val="9"/>
            <color indexed="81"/>
            <rFont val="Tahoma"/>
            <family val="2"/>
          </rPr>
          <t>Lenovo:</t>
        </r>
        <r>
          <rPr>
            <sz val="9"/>
            <color indexed="81"/>
            <rFont val="Tahoma"/>
            <family val="2"/>
          </rPr>
          <t xml:space="preserve">
11
</t>
        </r>
      </text>
    </comment>
    <comment ref="N7" authorId="0" shapeId="0" xr:uid="{00000000-0006-0000-0700-000004000000}">
      <text>
        <r>
          <rPr>
            <b/>
            <sz val="9"/>
            <color indexed="81"/>
            <rFont val="Tahoma"/>
            <family val="2"/>
          </rPr>
          <t>Lenovo:</t>
        </r>
        <r>
          <rPr>
            <sz val="9"/>
            <color indexed="81"/>
            <rFont val="Tahoma"/>
            <family val="2"/>
          </rPr>
          <t xml:space="preserve">
11</t>
        </r>
      </text>
    </comment>
    <comment ref="L8" authorId="0" shapeId="0" xr:uid="{00000000-0006-0000-0700-000005000000}">
      <text>
        <r>
          <rPr>
            <b/>
            <sz val="9"/>
            <color indexed="81"/>
            <rFont val="Tahoma"/>
            <family val="2"/>
          </rPr>
          <t>Lenovo:</t>
        </r>
        <r>
          <rPr>
            <sz val="9"/>
            <color indexed="81"/>
            <rFont val="Tahoma"/>
            <family val="2"/>
          </rPr>
          <t xml:space="preserve">
11
</t>
        </r>
      </text>
    </comment>
    <comment ref="L9" authorId="0" shapeId="0" xr:uid="{00000000-0006-0000-0700-000006000000}">
      <text>
        <r>
          <rPr>
            <b/>
            <sz val="9"/>
            <color indexed="81"/>
            <rFont val="Tahoma"/>
            <family val="2"/>
          </rPr>
          <t>Lenovo:</t>
        </r>
        <r>
          <rPr>
            <sz val="9"/>
            <color indexed="81"/>
            <rFont val="Tahoma"/>
            <family val="2"/>
          </rPr>
          <t xml:space="preserve">
11
</t>
        </r>
      </text>
    </comment>
    <comment ref="L10" authorId="0" shapeId="0" xr:uid="{00000000-0006-0000-0700-000007000000}">
      <text>
        <r>
          <rPr>
            <b/>
            <sz val="9"/>
            <color indexed="81"/>
            <rFont val="Tahoma"/>
            <family val="2"/>
          </rPr>
          <t>Lenovo:</t>
        </r>
        <r>
          <rPr>
            <sz val="9"/>
            <color indexed="81"/>
            <rFont val="Tahoma"/>
            <family val="2"/>
          </rPr>
          <t xml:space="preserve">
11
</t>
        </r>
      </text>
    </comment>
    <comment ref="N10" authorId="0" shapeId="0" xr:uid="{00000000-0006-0000-0700-000008000000}">
      <text>
        <r>
          <rPr>
            <b/>
            <sz val="9"/>
            <color indexed="81"/>
            <rFont val="Tahoma"/>
            <family val="2"/>
          </rPr>
          <t>Lenovo:</t>
        </r>
        <r>
          <rPr>
            <sz val="9"/>
            <color indexed="81"/>
            <rFont val="Tahoma"/>
            <family val="2"/>
          </rPr>
          <t xml:space="preserve">
11</t>
        </r>
      </text>
    </comment>
    <comment ref="L11" authorId="0" shapeId="0" xr:uid="{00000000-0006-0000-0700-000009000000}">
      <text>
        <r>
          <rPr>
            <b/>
            <sz val="9"/>
            <color indexed="81"/>
            <rFont val="Tahoma"/>
            <family val="2"/>
          </rPr>
          <t>Lenovo:</t>
        </r>
        <r>
          <rPr>
            <sz val="9"/>
            <color indexed="81"/>
            <rFont val="Tahoma"/>
            <family val="2"/>
          </rPr>
          <t xml:space="preserve">
11</t>
        </r>
      </text>
    </comment>
    <comment ref="N11" authorId="0" shapeId="0" xr:uid="{00000000-0006-0000-0700-00000A000000}">
      <text>
        <r>
          <rPr>
            <b/>
            <sz val="9"/>
            <color indexed="81"/>
            <rFont val="Tahoma"/>
            <family val="2"/>
          </rPr>
          <t>Lenovo:</t>
        </r>
        <r>
          <rPr>
            <sz val="9"/>
            <color indexed="81"/>
            <rFont val="Tahoma"/>
            <family val="2"/>
          </rPr>
          <t xml:space="preserve">
11</t>
        </r>
      </text>
    </comment>
    <comment ref="L12" authorId="0" shapeId="0" xr:uid="{00000000-0006-0000-0700-00000B000000}">
      <text>
        <r>
          <rPr>
            <b/>
            <sz val="9"/>
            <color indexed="81"/>
            <rFont val="Tahoma"/>
            <family val="2"/>
          </rPr>
          <t>Lenovo:</t>
        </r>
        <r>
          <rPr>
            <sz val="9"/>
            <color indexed="81"/>
            <rFont val="Tahoma"/>
            <family val="2"/>
          </rPr>
          <t xml:space="preserve">
11
</t>
        </r>
      </text>
    </comment>
    <comment ref="N12" authorId="0" shapeId="0" xr:uid="{00000000-0006-0000-0700-00000C000000}">
      <text>
        <r>
          <rPr>
            <b/>
            <sz val="9"/>
            <color indexed="81"/>
            <rFont val="Tahoma"/>
            <family val="2"/>
          </rPr>
          <t>Lenovo:</t>
        </r>
        <r>
          <rPr>
            <sz val="9"/>
            <color indexed="81"/>
            <rFont val="Tahoma"/>
            <family val="2"/>
          </rPr>
          <t xml:space="preserve">
11</t>
        </r>
      </text>
    </comment>
    <comment ref="L13" authorId="0" shapeId="0" xr:uid="{00000000-0006-0000-0700-00000D000000}">
      <text>
        <r>
          <rPr>
            <b/>
            <sz val="9"/>
            <color indexed="81"/>
            <rFont val="Tahoma"/>
            <family val="2"/>
          </rPr>
          <t>Lenovo:</t>
        </r>
        <r>
          <rPr>
            <sz val="9"/>
            <color indexed="81"/>
            <rFont val="Tahoma"/>
            <family val="2"/>
          </rPr>
          <t xml:space="preserve">
11</t>
        </r>
      </text>
    </comment>
    <comment ref="N13" authorId="0" shapeId="0" xr:uid="{00000000-0006-0000-0700-00000E000000}">
      <text>
        <r>
          <rPr>
            <b/>
            <sz val="9"/>
            <color indexed="81"/>
            <rFont val="Tahoma"/>
            <family val="2"/>
          </rPr>
          <t>Lenovo:</t>
        </r>
        <r>
          <rPr>
            <sz val="9"/>
            <color indexed="81"/>
            <rFont val="Tahoma"/>
            <family val="2"/>
          </rPr>
          <t xml:space="preserve">
11</t>
        </r>
      </text>
    </comment>
    <comment ref="L14" authorId="0" shapeId="0" xr:uid="{00000000-0006-0000-0700-00000F000000}">
      <text>
        <r>
          <rPr>
            <b/>
            <sz val="9"/>
            <color indexed="81"/>
            <rFont val="Tahoma"/>
            <family val="2"/>
          </rPr>
          <t>Lenovo:</t>
        </r>
        <r>
          <rPr>
            <sz val="9"/>
            <color indexed="81"/>
            <rFont val="Tahoma"/>
            <family val="2"/>
          </rPr>
          <t xml:space="preserve">
11</t>
        </r>
      </text>
    </comment>
    <comment ref="N14" authorId="0" shapeId="0" xr:uid="{00000000-0006-0000-0700-000010000000}">
      <text>
        <r>
          <rPr>
            <b/>
            <sz val="9"/>
            <color indexed="81"/>
            <rFont val="Tahoma"/>
            <family val="2"/>
          </rPr>
          <t>Lenovo:</t>
        </r>
        <r>
          <rPr>
            <sz val="9"/>
            <color indexed="81"/>
            <rFont val="Tahoma"/>
            <family val="2"/>
          </rPr>
          <t xml:space="preserve">
11</t>
        </r>
      </text>
    </comment>
    <comment ref="L15" authorId="0" shapeId="0" xr:uid="{00000000-0006-0000-0700-000011000000}">
      <text>
        <r>
          <rPr>
            <b/>
            <sz val="9"/>
            <color indexed="81"/>
            <rFont val="Tahoma"/>
            <family val="2"/>
          </rPr>
          <t>Lenovo:</t>
        </r>
        <r>
          <rPr>
            <sz val="9"/>
            <color indexed="81"/>
            <rFont val="Tahoma"/>
            <family val="2"/>
          </rPr>
          <t xml:space="preserve">
11</t>
        </r>
      </text>
    </comment>
    <comment ref="N15" authorId="0" shapeId="0" xr:uid="{00000000-0006-0000-0700-000012000000}">
      <text>
        <r>
          <rPr>
            <b/>
            <sz val="9"/>
            <color indexed="81"/>
            <rFont val="Tahoma"/>
            <family val="2"/>
          </rPr>
          <t>Lenovo:</t>
        </r>
        <r>
          <rPr>
            <sz val="9"/>
            <color indexed="81"/>
            <rFont val="Tahoma"/>
            <family val="2"/>
          </rPr>
          <t xml:space="preserve">
11</t>
        </r>
      </text>
    </comment>
    <comment ref="L16" authorId="0" shapeId="0" xr:uid="{00000000-0006-0000-0700-000013000000}">
      <text>
        <r>
          <rPr>
            <b/>
            <sz val="9"/>
            <color indexed="81"/>
            <rFont val="Tahoma"/>
            <family val="2"/>
          </rPr>
          <t>Lenovo:</t>
        </r>
        <r>
          <rPr>
            <sz val="9"/>
            <color indexed="81"/>
            <rFont val="Tahoma"/>
            <family val="2"/>
          </rPr>
          <t xml:space="preserve">
11</t>
        </r>
      </text>
    </comment>
    <comment ref="M19" authorId="0" shapeId="0" xr:uid="{00000000-0006-0000-0700-000014000000}">
      <text>
        <r>
          <rPr>
            <b/>
            <sz val="9"/>
            <color indexed="81"/>
            <rFont val="Tahoma"/>
            <family val="2"/>
          </rPr>
          <t>Lenovo:</t>
        </r>
        <r>
          <rPr>
            <sz val="9"/>
            <color indexed="81"/>
            <rFont val="Tahoma"/>
            <family val="2"/>
          </rPr>
          <t xml:space="preserve">
9</t>
        </r>
      </text>
    </comment>
    <comment ref="O19" authorId="0" shapeId="0" xr:uid="{00000000-0006-0000-0700-000015000000}">
      <text>
        <r>
          <rPr>
            <b/>
            <sz val="9"/>
            <color indexed="81"/>
            <rFont val="Tahoma"/>
            <family val="2"/>
          </rPr>
          <t>Lenovo:</t>
        </r>
        <r>
          <rPr>
            <sz val="9"/>
            <color indexed="81"/>
            <rFont val="Tahoma"/>
            <family val="2"/>
          </rPr>
          <t xml:space="preserve">
10</t>
        </r>
      </text>
    </comment>
    <comment ref="M20" authorId="0" shapeId="0" xr:uid="{00000000-0006-0000-0700-000016000000}">
      <text>
        <r>
          <rPr>
            <b/>
            <sz val="9"/>
            <color indexed="81"/>
            <rFont val="Tahoma"/>
            <family val="2"/>
          </rPr>
          <t>Lenovo:</t>
        </r>
        <r>
          <rPr>
            <sz val="9"/>
            <color indexed="81"/>
            <rFont val="Tahoma"/>
            <family val="2"/>
          </rPr>
          <t xml:space="preserve">
9</t>
        </r>
      </text>
    </comment>
    <comment ref="O20" authorId="0" shapeId="0" xr:uid="{00000000-0006-0000-0700-000017000000}">
      <text>
        <r>
          <rPr>
            <b/>
            <sz val="9"/>
            <color indexed="81"/>
            <rFont val="Tahoma"/>
            <family val="2"/>
          </rPr>
          <t>Lenovo:</t>
        </r>
        <r>
          <rPr>
            <sz val="9"/>
            <color indexed="81"/>
            <rFont val="Tahoma"/>
            <family val="2"/>
          </rPr>
          <t xml:space="preserve">
10</t>
        </r>
      </text>
    </comment>
    <comment ref="M21" authorId="0" shapeId="0" xr:uid="{00000000-0006-0000-0700-000018000000}">
      <text>
        <r>
          <rPr>
            <b/>
            <sz val="9"/>
            <color indexed="81"/>
            <rFont val="Tahoma"/>
            <family val="2"/>
          </rPr>
          <t>Lenovo:</t>
        </r>
        <r>
          <rPr>
            <sz val="9"/>
            <color indexed="81"/>
            <rFont val="Tahoma"/>
            <family val="2"/>
          </rPr>
          <t xml:space="preserve">
9</t>
        </r>
      </text>
    </comment>
    <comment ref="O21" authorId="0" shapeId="0" xr:uid="{00000000-0006-0000-0700-000019000000}">
      <text>
        <r>
          <rPr>
            <b/>
            <sz val="9"/>
            <color indexed="81"/>
            <rFont val="Tahoma"/>
            <family val="2"/>
          </rPr>
          <t>Lenovo:</t>
        </r>
        <r>
          <rPr>
            <sz val="9"/>
            <color indexed="81"/>
            <rFont val="Tahoma"/>
            <family val="2"/>
          </rPr>
          <t xml:space="preserve">
10</t>
        </r>
      </text>
    </comment>
    <comment ref="M22" authorId="0" shapeId="0" xr:uid="{00000000-0006-0000-0700-00001A000000}">
      <text>
        <r>
          <rPr>
            <b/>
            <sz val="9"/>
            <color indexed="81"/>
            <rFont val="Tahoma"/>
            <family val="2"/>
          </rPr>
          <t>Lenovo:</t>
        </r>
        <r>
          <rPr>
            <sz val="9"/>
            <color indexed="81"/>
            <rFont val="Tahoma"/>
            <family val="2"/>
          </rPr>
          <t xml:space="preserve">
9</t>
        </r>
      </text>
    </comment>
    <comment ref="O22" authorId="0" shapeId="0" xr:uid="{00000000-0006-0000-0700-00001B000000}">
      <text>
        <r>
          <rPr>
            <b/>
            <sz val="9"/>
            <color indexed="81"/>
            <rFont val="Tahoma"/>
            <family val="2"/>
          </rPr>
          <t>Lenovo:</t>
        </r>
        <r>
          <rPr>
            <sz val="9"/>
            <color indexed="81"/>
            <rFont val="Tahoma"/>
            <family val="2"/>
          </rPr>
          <t xml:space="preserve">
10</t>
        </r>
      </text>
    </comment>
    <comment ref="M23" authorId="0" shapeId="0" xr:uid="{00000000-0006-0000-0700-00001C000000}">
      <text>
        <r>
          <rPr>
            <b/>
            <sz val="9"/>
            <color indexed="81"/>
            <rFont val="Tahoma"/>
            <family val="2"/>
          </rPr>
          <t>Lenovo:</t>
        </r>
        <r>
          <rPr>
            <sz val="9"/>
            <color indexed="81"/>
            <rFont val="Tahoma"/>
            <family val="2"/>
          </rPr>
          <t xml:space="preserve">
9</t>
        </r>
      </text>
    </comment>
    <comment ref="O23" authorId="0" shapeId="0" xr:uid="{00000000-0006-0000-0700-00001D000000}">
      <text>
        <r>
          <rPr>
            <b/>
            <sz val="9"/>
            <color indexed="81"/>
            <rFont val="Tahoma"/>
            <family val="2"/>
          </rPr>
          <t>Lenovo:</t>
        </r>
        <r>
          <rPr>
            <sz val="9"/>
            <color indexed="81"/>
            <rFont val="Tahoma"/>
            <family val="2"/>
          </rPr>
          <t xml:space="preserve">
10</t>
        </r>
      </text>
    </comment>
    <comment ref="L24" authorId="0" shapeId="0" xr:uid="{00000000-0006-0000-0700-00001E000000}">
      <text>
        <r>
          <rPr>
            <b/>
            <sz val="9"/>
            <color indexed="81"/>
            <rFont val="Tahoma"/>
            <family val="2"/>
          </rPr>
          <t>Lenovo:</t>
        </r>
        <r>
          <rPr>
            <sz val="9"/>
            <color indexed="81"/>
            <rFont val="Tahoma"/>
            <family val="2"/>
          </rPr>
          <t xml:space="preserve">
4</t>
        </r>
      </text>
    </comment>
    <comment ref="M24" authorId="0" shapeId="0" xr:uid="{00000000-0006-0000-0700-00001F000000}">
      <text>
        <r>
          <rPr>
            <b/>
            <sz val="9"/>
            <color indexed="81"/>
            <rFont val="Tahoma"/>
            <family val="2"/>
          </rPr>
          <t>Lenovo:</t>
        </r>
        <r>
          <rPr>
            <sz val="9"/>
            <color indexed="81"/>
            <rFont val="Tahoma"/>
            <family val="2"/>
          </rPr>
          <t xml:space="preserve">
4</t>
        </r>
      </text>
    </comment>
    <comment ref="N24" authorId="0" shapeId="0" xr:uid="{00000000-0006-0000-0700-000020000000}">
      <text>
        <r>
          <rPr>
            <b/>
            <sz val="9"/>
            <color indexed="81"/>
            <rFont val="Tahoma"/>
            <family val="2"/>
          </rPr>
          <t>Lenovo:</t>
        </r>
        <r>
          <rPr>
            <sz val="9"/>
            <color indexed="81"/>
            <rFont val="Tahoma"/>
            <family val="2"/>
          </rPr>
          <t xml:space="preserve">
3
</t>
        </r>
      </text>
    </comment>
    <comment ref="L25" authorId="0" shapeId="0" xr:uid="{00000000-0006-0000-0700-000021000000}">
      <text>
        <r>
          <rPr>
            <b/>
            <sz val="9"/>
            <color indexed="81"/>
            <rFont val="Tahoma"/>
            <family val="2"/>
          </rPr>
          <t>Lenovo:</t>
        </r>
        <r>
          <rPr>
            <sz val="9"/>
            <color indexed="81"/>
            <rFont val="Tahoma"/>
            <family val="2"/>
          </rPr>
          <t xml:space="preserve">
4</t>
        </r>
      </text>
    </comment>
    <comment ref="M25" authorId="0" shapeId="0" xr:uid="{00000000-0006-0000-0700-000022000000}">
      <text>
        <r>
          <rPr>
            <b/>
            <sz val="9"/>
            <color indexed="81"/>
            <rFont val="Tahoma"/>
            <family val="2"/>
          </rPr>
          <t>Lenovo:</t>
        </r>
        <r>
          <rPr>
            <sz val="9"/>
            <color indexed="81"/>
            <rFont val="Tahoma"/>
            <family val="2"/>
          </rPr>
          <t xml:space="preserve">
4</t>
        </r>
      </text>
    </comment>
    <comment ref="N25" authorId="0" shapeId="0" xr:uid="{00000000-0006-0000-0700-000023000000}">
      <text>
        <r>
          <rPr>
            <b/>
            <sz val="9"/>
            <color indexed="81"/>
            <rFont val="Tahoma"/>
            <family val="2"/>
          </rPr>
          <t>Lenovo:</t>
        </r>
        <r>
          <rPr>
            <sz val="9"/>
            <color indexed="81"/>
            <rFont val="Tahoma"/>
            <family val="2"/>
          </rPr>
          <t xml:space="preserve">
3
</t>
        </r>
      </text>
    </comment>
    <comment ref="L26" authorId="0" shapeId="0" xr:uid="{00000000-0006-0000-0700-000024000000}">
      <text>
        <r>
          <rPr>
            <b/>
            <sz val="9"/>
            <color indexed="81"/>
            <rFont val="Tahoma"/>
            <family val="2"/>
          </rPr>
          <t>Lenovo:</t>
        </r>
        <r>
          <rPr>
            <sz val="9"/>
            <color indexed="81"/>
            <rFont val="Tahoma"/>
            <family val="2"/>
          </rPr>
          <t xml:space="preserve">
4</t>
        </r>
      </text>
    </comment>
    <comment ref="M26" authorId="0" shapeId="0" xr:uid="{00000000-0006-0000-0700-000025000000}">
      <text>
        <r>
          <rPr>
            <b/>
            <sz val="9"/>
            <color indexed="81"/>
            <rFont val="Tahoma"/>
            <family val="2"/>
          </rPr>
          <t>Lenovo:</t>
        </r>
        <r>
          <rPr>
            <sz val="9"/>
            <color indexed="81"/>
            <rFont val="Tahoma"/>
            <family val="2"/>
          </rPr>
          <t xml:space="preserve">
4</t>
        </r>
      </text>
    </comment>
    <comment ref="L27" authorId="0" shapeId="0" xr:uid="{00000000-0006-0000-0700-000026000000}">
      <text>
        <r>
          <rPr>
            <b/>
            <sz val="9"/>
            <color indexed="81"/>
            <rFont val="Tahoma"/>
            <family val="2"/>
          </rPr>
          <t>Lenovo:</t>
        </r>
        <r>
          <rPr>
            <sz val="9"/>
            <color indexed="81"/>
            <rFont val="Tahoma"/>
            <family val="2"/>
          </rPr>
          <t xml:space="preserve">
4</t>
        </r>
      </text>
    </comment>
    <comment ref="M27" authorId="0" shapeId="0" xr:uid="{00000000-0006-0000-0700-000027000000}">
      <text>
        <r>
          <rPr>
            <b/>
            <sz val="9"/>
            <color indexed="81"/>
            <rFont val="Tahoma"/>
            <family val="2"/>
          </rPr>
          <t>Lenovo:</t>
        </r>
        <r>
          <rPr>
            <sz val="9"/>
            <color indexed="81"/>
            <rFont val="Tahoma"/>
            <family val="2"/>
          </rPr>
          <t xml:space="preserve">
4</t>
        </r>
      </text>
    </comment>
    <comment ref="L28" authorId="0" shapeId="0" xr:uid="{00000000-0006-0000-0700-000028000000}">
      <text>
        <r>
          <rPr>
            <b/>
            <sz val="9"/>
            <color indexed="81"/>
            <rFont val="Tahoma"/>
            <family val="2"/>
          </rPr>
          <t>Lenovo:</t>
        </r>
        <r>
          <rPr>
            <sz val="9"/>
            <color indexed="81"/>
            <rFont val="Tahoma"/>
            <family val="2"/>
          </rPr>
          <t xml:space="preserve">
4</t>
        </r>
      </text>
    </comment>
    <comment ref="M28" authorId="0" shapeId="0" xr:uid="{00000000-0006-0000-0700-000029000000}">
      <text>
        <r>
          <rPr>
            <b/>
            <sz val="9"/>
            <color indexed="81"/>
            <rFont val="Tahoma"/>
            <family val="2"/>
          </rPr>
          <t>Lenovo:</t>
        </r>
        <r>
          <rPr>
            <sz val="9"/>
            <color indexed="81"/>
            <rFont val="Tahoma"/>
            <family val="2"/>
          </rPr>
          <t xml:space="preserve">
4</t>
        </r>
      </text>
    </comment>
    <comment ref="N28" authorId="0" shapeId="0" xr:uid="{00000000-0006-0000-0700-00002A000000}">
      <text>
        <r>
          <rPr>
            <b/>
            <sz val="9"/>
            <color indexed="81"/>
            <rFont val="Tahoma"/>
            <family val="2"/>
          </rPr>
          <t>Lenovo:</t>
        </r>
        <r>
          <rPr>
            <sz val="9"/>
            <color indexed="81"/>
            <rFont val="Tahoma"/>
            <family val="2"/>
          </rPr>
          <t xml:space="preserve">
3
</t>
        </r>
      </text>
    </comment>
    <comment ref="L29" authorId="0" shapeId="0" xr:uid="{00000000-0006-0000-0700-00002B000000}">
      <text>
        <r>
          <rPr>
            <b/>
            <sz val="9"/>
            <color indexed="81"/>
            <rFont val="Tahoma"/>
            <family val="2"/>
          </rPr>
          <t>Lenovo:</t>
        </r>
        <r>
          <rPr>
            <sz val="9"/>
            <color indexed="81"/>
            <rFont val="Tahoma"/>
            <family val="2"/>
          </rPr>
          <t xml:space="preserve">
4</t>
        </r>
      </text>
    </comment>
    <comment ref="M29" authorId="0" shapeId="0" xr:uid="{00000000-0006-0000-0700-00002C000000}">
      <text>
        <r>
          <rPr>
            <b/>
            <sz val="9"/>
            <color indexed="81"/>
            <rFont val="Tahoma"/>
            <family val="2"/>
          </rPr>
          <t>Lenovo:</t>
        </r>
        <r>
          <rPr>
            <sz val="9"/>
            <color indexed="81"/>
            <rFont val="Tahoma"/>
            <family val="2"/>
          </rPr>
          <t xml:space="preserve">
4</t>
        </r>
      </text>
    </comment>
    <comment ref="N29" authorId="0" shapeId="0" xr:uid="{00000000-0006-0000-0700-00002D000000}">
      <text>
        <r>
          <rPr>
            <b/>
            <sz val="9"/>
            <color indexed="81"/>
            <rFont val="Tahoma"/>
            <family val="2"/>
          </rPr>
          <t>Lenovo:</t>
        </r>
        <r>
          <rPr>
            <sz val="9"/>
            <color indexed="81"/>
            <rFont val="Tahoma"/>
            <family val="2"/>
          </rPr>
          <t xml:space="preserve">
3
</t>
        </r>
      </text>
    </comment>
    <comment ref="L30" authorId="0" shapeId="0" xr:uid="{00000000-0006-0000-0700-00002E000000}">
      <text>
        <r>
          <rPr>
            <b/>
            <sz val="9"/>
            <color indexed="81"/>
            <rFont val="Tahoma"/>
            <family val="2"/>
          </rPr>
          <t>Lenovo:</t>
        </r>
        <r>
          <rPr>
            <sz val="9"/>
            <color indexed="81"/>
            <rFont val="Tahoma"/>
            <family val="2"/>
          </rPr>
          <t xml:space="preserve">
5</t>
        </r>
      </text>
    </comment>
    <comment ref="M30" authorId="0" shapeId="0" xr:uid="{00000000-0006-0000-0700-00002F000000}">
      <text>
        <r>
          <rPr>
            <b/>
            <sz val="9"/>
            <color indexed="81"/>
            <rFont val="Tahoma"/>
            <family val="2"/>
          </rPr>
          <t>Lenovo:</t>
        </r>
        <r>
          <rPr>
            <sz val="9"/>
            <color indexed="81"/>
            <rFont val="Tahoma"/>
            <family val="2"/>
          </rPr>
          <t xml:space="preserve">
5</t>
        </r>
      </text>
    </comment>
    <comment ref="N30" authorId="0" shapeId="0" xr:uid="{00000000-0006-0000-0700-000030000000}">
      <text>
        <r>
          <rPr>
            <b/>
            <sz val="9"/>
            <color indexed="81"/>
            <rFont val="Tahoma"/>
            <family val="2"/>
          </rPr>
          <t>Lenovo:</t>
        </r>
        <r>
          <rPr>
            <sz val="9"/>
            <color indexed="81"/>
            <rFont val="Tahoma"/>
            <family val="2"/>
          </rPr>
          <t xml:space="preserve">
6</t>
        </r>
      </text>
    </comment>
    <comment ref="L33" authorId="0" shapeId="0" xr:uid="{00000000-0006-0000-0700-000031000000}">
      <text>
        <r>
          <rPr>
            <b/>
            <sz val="9"/>
            <color indexed="81"/>
            <rFont val="Tahoma"/>
            <family val="2"/>
          </rPr>
          <t>Lenovo:</t>
        </r>
        <r>
          <rPr>
            <sz val="9"/>
            <color indexed="81"/>
            <rFont val="Tahoma"/>
            <family val="2"/>
          </rPr>
          <t xml:space="preserve">
7</t>
        </r>
      </text>
    </comment>
    <comment ref="N33" authorId="0" shapeId="0" xr:uid="{00000000-0006-0000-0700-000032000000}">
      <text>
        <r>
          <rPr>
            <b/>
            <sz val="9"/>
            <color indexed="81"/>
            <rFont val="Tahoma"/>
            <family val="2"/>
          </rPr>
          <t>Lenovo:</t>
        </r>
        <r>
          <rPr>
            <sz val="9"/>
            <color indexed="81"/>
            <rFont val="Tahoma"/>
            <family val="2"/>
          </rPr>
          <t xml:space="preserve">
8</t>
        </r>
      </text>
    </comment>
    <comment ref="O33" authorId="0" shapeId="0" xr:uid="{00000000-0006-0000-0700-000033000000}">
      <text>
        <r>
          <rPr>
            <b/>
            <sz val="9"/>
            <color indexed="81"/>
            <rFont val="Tahoma"/>
            <family val="2"/>
          </rPr>
          <t>Lenovo:</t>
        </r>
        <r>
          <rPr>
            <sz val="9"/>
            <color indexed="81"/>
            <rFont val="Tahoma"/>
            <family val="2"/>
          </rPr>
          <t xml:space="preserve">
8</t>
        </r>
      </text>
    </comment>
    <comment ref="L34" authorId="0" shapeId="0" xr:uid="{00000000-0006-0000-0700-000034000000}">
      <text>
        <r>
          <rPr>
            <b/>
            <sz val="9"/>
            <color indexed="81"/>
            <rFont val="Tahoma"/>
            <family val="2"/>
          </rPr>
          <t>Lenovo:</t>
        </r>
        <r>
          <rPr>
            <sz val="9"/>
            <color indexed="81"/>
            <rFont val="Tahoma"/>
            <family val="2"/>
          </rPr>
          <t xml:space="preserve">
4</t>
        </r>
      </text>
    </comment>
    <comment ref="M34" authorId="0" shapeId="0" xr:uid="{00000000-0006-0000-0700-000035000000}">
      <text>
        <r>
          <rPr>
            <b/>
            <sz val="9"/>
            <color indexed="81"/>
            <rFont val="Tahoma"/>
            <family val="2"/>
          </rPr>
          <t>Lenovo:</t>
        </r>
        <r>
          <rPr>
            <sz val="9"/>
            <color indexed="81"/>
            <rFont val="Tahoma"/>
            <family val="2"/>
          </rPr>
          <t xml:space="preserve">
4</t>
        </r>
      </text>
    </comment>
    <comment ref="N34" authorId="0" shapeId="0" xr:uid="{00000000-0006-0000-0700-000036000000}">
      <text>
        <r>
          <rPr>
            <b/>
            <sz val="9"/>
            <color indexed="81"/>
            <rFont val="Tahoma"/>
            <family val="2"/>
          </rPr>
          <t>Lenovo:</t>
        </r>
        <r>
          <rPr>
            <sz val="9"/>
            <color indexed="81"/>
            <rFont val="Tahoma"/>
            <family val="2"/>
          </rPr>
          <t xml:space="preserve">
3</t>
        </r>
      </text>
    </comment>
    <comment ref="L36" authorId="0" shapeId="0" xr:uid="{00000000-0006-0000-0700-000037000000}">
      <text>
        <r>
          <rPr>
            <b/>
            <sz val="9"/>
            <color indexed="81"/>
            <rFont val="Tahoma"/>
            <family val="2"/>
          </rPr>
          <t>Lenovo:</t>
        </r>
        <r>
          <rPr>
            <sz val="9"/>
            <color indexed="81"/>
            <rFont val="Tahoma"/>
            <family val="2"/>
          </rPr>
          <t xml:space="preserve">
7</t>
        </r>
      </text>
    </comment>
    <comment ref="N36" authorId="0" shapeId="0" xr:uid="{00000000-0006-0000-0700-000038000000}">
      <text>
        <r>
          <rPr>
            <b/>
            <sz val="9"/>
            <color indexed="81"/>
            <rFont val="Tahoma"/>
            <family val="2"/>
          </rPr>
          <t>Lenovo:</t>
        </r>
        <r>
          <rPr>
            <sz val="9"/>
            <color indexed="81"/>
            <rFont val="Tahoma"/>
            <family val="2"/>
          </rPr>
          <t xml:space="preserve">
8</t>
        </r>
      </text>
    </comment>
    <comment ref="O36" authorId="0" shapeId="0" xr:uid="{00000000-0006-0000-0700-000039000000}">
      <text>
        <r>
          <rPr>
            <b/>
            <sz val="9"/>
            <color indexed="81"/>
            <rFont val="Tahoma"/>
            <family val="2"/>
          </rPr>
          <t>Lenovo:</t>
        </r>
        <r>
          <rPr>
            <sz val="9"/>
            <color indexed="81"/>
            <rFont val="Tahoma"/>
            <family val="2"/>
          </rPr>
          <t xml:space="preserve">
8</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Yina Marcela Carrera Rodríguez</author>
  </authors>
  <commentList>
    <comment ref="M6" authorId="0" shapeId="0" xr:uid="{00000000-0006-0000-0A00-000001000000}">
      <text>
        <r>
          <rPr>
            <b/>
            <sz val="9"/>
            <color indexed="81"/>
            <rFont val="Tahoma"/>
            <family val="2"/>
          </rPr>
          <t>Yina Marcela Carrera Rodríguez:</t>
        </r>
        <r>
          <rPr>
            <sz val="9"/>
            <color indexed="81"/>
            <rFont val="Tahoma"/>
            <family val="2"/>
          </rPr>
          <t xml:space="preserve">
1</t>
        </r>
      </text>
    </comment>
    <comment ref="N6" authorId="0" shapeId="0" xr:uid="{00000000-0006-0000-0A00-000002000000}">
      <text>
        <r>
          <rPr>
            <b/>
            <sz val="9"/>
            <color indexed="81"/>
            <rFont val="Tahoma"/>
            <family val="2"/>
          </rPr>
          <t>Yina Marcela Carrera Rodríguez:</t>
        </r>
        <r>
          <rPr>
            <sz val="9"/>
            <color indexed="81"/>
            <rFont val="Tahoma"/>
            <family val="2"/>
          </rPr>
          <t xml:space="preserve">
1</t>
        </r>
      </text>
    </comment>
    <comment ref="M8" authorId="0" shapeId="0" xr:uid="{00000000-0006-0000-0A00-000003000000}">
      <text>
        <r>
          <rPr>
            <b/>
            <sz val="9"/>
            <color indexed="81"/>
            <rFont val="Tahoma"/>
            <family val="2"/>
          </rPr>
          <t>Yina Marcela Carrera Rodríguez:</t>
        </r>
        <r>
          <rPr>
            <sz val="9"/>
            <color indexed="81"/>
            <rFont val="Tahoma"/>
            <family val="2"/>
          </rPr>
          <t xml:space="preserve">
2</t>
        </r>
      </text>
    </comment>
    <comment ref="M20" authorId="0" shapeId="0" xr:uid="{00000000-0006-0000-0A00-000004000000}">
      <text>
        <r>
          <rPr>
            <b/>
            <sz val="9"/>
            <color indexed="81"/>
            <rFont val="Tahoma"/>
            <family val="2"/>
          </rPr>
          <t>Yina Marcela Carrera Rodríguez:</t>
        </r>
        <r>
          <rPr>
            <sz val="9"/>
            <color indexed="81"/>
            <rFont val="Tahoma"/>
            <family val="2"/>
          </rPr>
          <t xml:space="preserve">
3</t>
        </r>
      </text>
    </comment>
    <comment ref="M31" authorId="0" shapeId="0" xr:uid="{00000000-0006-0000-0A00-000005000000}">
      <text>
        <r>
          <rPr>
            <b/>
            <sz val="9"/>
            <color indexed="81"/>
            <rFont val="Tahoma"/>
            <family val="2"/>
          </rPr>
          <t>Yina Marcela Carrera Rodríguez:</t>
        </r>
        <r>
          <rPr>
            <sz val="9"/>
            <color indexed="81"/>
            <rFont val="Tahoma"/>
            <family val="2"/>
          </rPr>
          <t xml:space="preserve">
4</t>
        </r>
      </text>
    </comment>
    <comment ref="M34" authorId="0" shapeId="0" xr:uid="{00000000-0006-0000-0A00-000006000000}">
      <text>
        <r>
          <rPr>
            <b/>
            <sz val="9"/>
            <color indexed="81"/>
            <rFont val="Tahoma"/>
            <family val="2"/>
          </rPr>
          <t>Yina Marcela Carrera Rodríguez:</t>
        </r>
        <r>
          <rPr>
            <sz val="9"/>
            <color indexed="81"/>
            <rFont val="Tahoma"/>
            <family val="2"/>
          </rPr>
          <t xml:space="preserve">
5</t>
        </r>
      </text>
    </comment>
  </commentList>
</comments>
</file>

<file path=xl/sharedStrings.xml><?xml version="1.0" encoding="utf-8"?>
<sst xmlns="http://schemas.openxmlformats.org/spreadsheetml/2006/main" count="2116" uniqueCount="353">
  <si>
    <t>Área Hidrográfica</t>
  </si>
  <si>
    <t>Zona Hidrográfica</t>
  </si>
  <si>
    <t>Subzona Hidrográfica</t>
  </si>
  <si>
    <t>Áreas de Drenaje</t>
  </si>
  <si>
    <t>Caribe</t>
  </si>
  <si>
    <t>Catatumbo</t>
  </si>
  <si>
    <t>Río Algodonal</t>
  </si>
  <si>
    <t>Río Frío</t>
  </si>
  <si>
    <t>Río Oroque</t>
  </si>
  <si>
    <t>1602</t>
  </si>
  <si>
    <t>Río Zulia</t>
  </si>
  <si>
    <t>R. Peralonso Bajo</t>
  </si>
  <si>
    <t>Q. Uribe</t>
  </si>
  <si>
    <t>R. Arboledas</t>
  </si>
  <si>
    <t>R. Cucutilla Alto</t>
  </si>
  <si>
    <t>R. Cucutilla Bajo</t>
  </si>
  <si>
    <t>R. Peralonso Alto</t>
  </si>
  <si>
    <t>R. Salazar Parte Alta</t>
  </si>
  <si>
    <t>R. La Plata Bajo</t>
  </si>
  <si>
    <t>R. Zulasquilla</t>
  </si>
  <si>
    <t>R. La plata Alta</t>
  </si>
  <si>
    <t>1603</t>
  </si>
  <si>
    <t>Río Sardinata</t>
  </si>
  <si>
    <t>1604</t>
  </si>
  <si>
    <t>Río Tarra</t>
  </si>
  <si>
    <t>Afluente río Tarra</t>
  </si>
  <si>
    <t>Rio Pamplonita</t>
  </si>
  <si>
    <t>La Tescua</t>
  </si>
  <si>
    <t>Iscala</t>
  </si>
  <si>
    <t>El Naranjo</t>
  </si>
  <si>
    <t>Batagá</t>
  </si>
  <si>
    <t>El Volcan</t>
  </si>
  <si>
    <t>2</t>
  </si>
  <si>
    <t>Magdalena - Cauca</t>
  </si>
  <si>
    <t>Medio Magdalena</t>
  </si>
  <si>
    <t>Río Salamaga</t>
  </si>
  <si>
    <t>Rio Salamaga Alto</t>
  </si>
  <si>
    <t>Rio Oro</t>
  </si>
  <si>
    <t>Río de Oro Alto</t>
  </si>
  <si>
    <t>Rio Surata</t>
  </si>
  <si>
    <t>Río Suratá Alto</t>
  </si>
  <si>
    <t>Rio Vetas</t>
  </si>
  <si>
    <t>Rio Charta</t>
  </si>
  <si>
    <t>Rio Tona</t>
  </si>
  <si>
    <t>Río Negro Alto</t>
  </si>
  <si>
    <t>Río Cáchira Sur</t>
  </si>
  <si>
    <t>El Pino</t>
  </si>
  <si>
    <t>Romeritos</t>
  </si>
  <si>
    <t>Cachirí Alto</t>
  </si>
  <si>
    <t>Río Lebrija Medio</t>
  </si>
  <si>
    <t>Río Cáchira del Espítiru Santo</t>
  </si>
  <si>
    <t>Río Lebrija y otros directos al Magdalena</t>
  </si>
  <si>
    <t>Sogamoso</t>
  </si>
  <si>
    <t>Río Manco</t>
  </si>
  <si>
    <t>Orionoco</t>
  </si>
  <si>
    <t>Arauca</t>
  </si>
  <si>
    <t>Río Chitagá</t>
  </si>
  <si>
    <t>Río Culaga</t>
  </si>
  <si>
    <t>OHTD (m3/s)</t>
  </si>
  <si>
    <t>28,14</t>
  </si>
  <si>
    <t>Año Normal</t>
  </si>
  <si>
    <t>Año seco</t>
  </si>
  <si>
    <t>532,3</t>
  </si>
  <si>
    <t xml:space="preserve">2358,77  </t>
  </si>
  <si>
    <t>801,87</t>
  </si>
  <si>
    <t>1 Tabla 3.224.Oferta hídrica total para año normal.</t>
  </si>
  <si>
    <t>2 Tabla 3.226.Oferta hídrica total superficial para año seco mensual por subcuenca y microcuencas.</t>
  </si>
  <si>
    <t>OHT (m3/s)</t>
  </si>
  <si>
    <t>Año Húmedo</t>
  </si>
  <si>
    <t>3 Tabla 3.227.Oferta hídrica total superficial para año húmedo mensual por subcuenca y microcuencas</t>
  </si>
  <si>
    <t>4 Tabla 3.231.Oferta hídrica disponible para año normal.</t>
  </si>
  <si>
    <t>5 Tabla 3.233.Oferta hídrica disponible para año seco a nivel mensual en las subcuencas y microcuencas.</t>
  </si>
  <si>
    <t>IRH</t>
  </si>
  <si>
    <t>Tiempo Normal</t>
  </si>
  <si>
    <t>Tiempo seco</t>
  </si>
  <si>
    <t>6 Tabla 3.237. Índice de retención y regulación hídrica para las Subcuencas y microcuencas.</t>
  </si>
  <si>
    <t>7 Tabla 3.225.Oferta hídrica total para año normal por balance hidrológico. POMCA Río Zulia</t>
  </si>
  <si>
    <t>1605-7</t>
  </si>
  <si>
    <t>1605-8</t>
  </si>
  <si>
    <t>1602-09</t>
  </si>
  <si>
    <t>1602-17</t>
  </si>
  <si>
    <t>1602-12</t>
  </si>
  <si>
    <t>1602-13</t>
  </si>
  <si>
    <t>1602-25</t>
  </si>
  <si>
    <t>1602-10</t>
  </si>
  <si>
    <t>1602-11</t>
  </si>
  <si>
    <t>1602-15</t>
  </si>
  <si>
    <t>1602-16</t>
  </si>
  <si>
    <t>1602-14</t>
  </si>
  <si>
    <t>8 Tabla 3.227.Oferta hídrica total superficial para año seco mensual por subcuenca y microcuencas.</t>
  </si>
  <si>
    <t>9 Tabla 3.232.Oferta hídrica disponible para año normal a nivel mensual en las subcuencas y microcuencas.</t>
  </si>
  <si>
    <t>10 Tabla 3.233.Oferta hídrica disponible para año seco a nivel mensual en las subcuencas y microcuencas.</t>
  </si>
  <si>
    <t>2319-01-05-01</t>
  </si>
  <si>
    <t>2319-01-02-03</t>
  </si>
  <si>
    <t>2319-01-03-04</t>
  </si>
  <si>
    <t>2319-01-03-03</t>
  </si>
  <si>
    <t>2319-01-03-02</t>
  </si>
  <si>
    <t>2319-01-03-01</t>
  </si>
  <si>
    <t>2319-01-01-01</t>
  </si>
  <si>
    <t>11 Tabla 10. Oferta Hídrica Total año normal, seco y lluvioso Alto Lebrija. POMCA Alto Lebrija</t>
  </si>
  <si>
    <t>12 Tabla 11. Oferta Hídrica Disponible año normal, seco y Lluvioso Alto Lebrija</t>
  </si>
  <si>
    <t xml:space="preserve">13 Tabla 19. IRH estaciones Alto Lebrija </t>
  </si>
  <si>
    <t>2319-02-05-00</t>
  </si>
  <si>
    <t>2319-02-04-00</t>
  </si>
  <si>
    <t>2319-02-03-00</t>
  </si>
  <si>
    <t>14 Tabla 6 Oferta Hídrica Total año normal, seco y lluvioso Cachira Sur. POMCA Río Cachira</t>
  </si>
  <si>
    <t>15 Tabla 7. Oferta Hídrica Disponible año normal, seco y Lluvioso Cachira Sur</t>
  </si>
  <si>
    <t>Afluentes Río Lebrija Medio</t>
  </si>
  <si>
    <t>L 2319-03-01</t>
  </si>
  <si>
    <t>L 2319-03-02</t>
  </si>
  <si>
    <t>16 Tabla 100. Índice de retención y regulación hídrica. POMCA Río Lebrija Medio</t>
  </si>
  <si>
    <t>Alto</t>
  </si>
  <si>
    <t>Muy Alto</t>
  </si>
  <si>
    <t>*</t>
  </si>
  <si>
    <t>*Se asumió la oferta hídrica total como el caudal medio mensual multianual y se calculó para las estaciones no por subcuencas</t>
  </si>
  <si>
    <t>Afluentes Alto Río Lebrija</t>
  </si>
  <si>
    <t>17 Tabla 114. Valores de caudales ambientales y oferta hídrica.</t>
  </si>
  <si>
    <t>Año Medio</t>
  </si>
  <si>
    <r>
      <t>OHT (millones m</t>
    </r>
    <r>
      <rPr>
        <b/>
        <vertAlign val="superscript"/>
        <sz val="10"/>
        <color theme="0"/>
        <rFont val="Calibri"/>
        <family val="2"/>
        <scheme val="minor"/>
      </rPr>
      <t>3</t>
    </r>
    <r>
      <rPr>
        <b/>
        <sz val="10"/>
        <color theme="0"/>
        <rFont val="Calibri"/>
        <family val="2"/>
        <scheme val="minor"/>
      </rPr>
      <t>)</t>
    </r>
  </si>
  <si>
    <t>Río Nuevo Presidente - Tres Bocas (Sardinata, Tibú)</t>
  </si>
  <si>
    <t>Río Chicamocha</t>
  </si>
  <si>
    <t>OHTD (millones m3)</t>
  </si>
  <si>
    <t>Valor índice</t>
  </si>
  <si>
    <t>Clasificación</t>
  </si>
  <si>
    <t>Baja</t>
  </si>
  <si>
    <t>Moderada</t>
  </si>
  <si>
    <t>Muy Bajo</t>
  </si>
  <si>
    <t>Cód</t>
  </si>
  <si>
    <t>Nombre</t>
  </si>
  <si>
    <t>Índice de uso del agua superficial (IUA)</t>
  </si>
  <si>
    <t>Índice de eficiencia en el uso del agua (IEUA)</t>
  </si>
  <si>
    <t>Índice de alteración potencial a la calidad del agua (IACAL)</t>
  </si>
  <si>
    <t>Índice de vulnerabilidad por desabastecimiento (IVH)</t>
  </si>
  <si>
    <t>Índice de presión hídrica a los ecosistemas (IPHE)</t>
  </si>
  <si>
    <t>Variabilidad de la oferta hídrica</t>
  </si>
  <si>
    <t>Demanda Hídrica Total (millones m3)</t>
  </si>
  <si>
    <t>Moderado</t>
  </si>
  <si>
    <t>Bajo</t>
  </si>
  <si>
    <t>Valor Año Medio</t>
  </si>
  <si>
    <t>Valor Año Seco</t>
  </si>
  <si>
    <t>Crítico</t>
  </si>
  <si>
    <t>Alta</t>
  </si>
  <si>
    <t>Media Alta</t>
  </si>
  <si>
    <t>Muy Alta</t>
  </si>
  <si>
    <t>Media</t>
  </si>
  <si>
    <t>Valor Año medio</t>
  </si>
  <si>
    <t>Potencial de Recarga</t>
  </si>
  <si>
    <t>Muy Baja a Moderada</t>
  </si>
  <si>
    <t>Baja a Moderada</t>
  </si>
  <si>
    <t>Muy Baja</t>
  </si>
  <si>
    <t>Muy Baja a Baja</t>
  </si>
  <si>
    <t xml:space="preserve"> Evaluación integrada del agua</t>
  </si>
  <si>
    <t>Valor</t>
  </si>
  <si>
    <t>1 Tabla 3.234.Demanda total en subcuenca, por captaciones.</t>
  </si>
  <si>
    <t>2 Tabla 3.239. Índice de Uso del Agua – IUA.</t>
  </si>
  <si>
    <t xml:space="preserve">Bajo </t>
  </si>
  <si>
    <t>3 Tabla 3.234.Demanda total en subcuenca, por captaciones. Pomca Río Zulia</t>
  </si>
  <si>
    <t>4 Tabla 3.239. Índice de uso del agua calculado por demanda de captación.</t>
  </si>
  <si>
    <t>5 Tabla 21. IUA Cuenca Alto Lebrija</t>
  </si>
  <si>
    <t>Demanda Hídrica Total (m3/s)</t>
  </si>
  <si>
    <t xml:space="preserve"> Alto</t>
  </si>
  <si>
    <t>S.I.</t>
  </si>
  <si>
    <t>Vulnerabilidad de acuíferos a la contaminación (IVH)</t>
  </si>
  <si>
    <t>0.00091</t>
  </si>
  <si>
    <t>0.00171</t>
  </si>
  <si>
    <t>0.00234</t>
  </si>
  <si>
    <t>S.I</t>
  </si>
  <si>
    <t>Medio</t>
  </si>
  <si>
    <t xml:space="preserve">Alto </t>
  </si>
  <si>
    <t>2 Tabla 3.255. Índice de vulnerabilidad por desabastecimiento hídrico.</t>
  </si>
  <si>
    <t>3 Cuadro 29. Valores del IVH por subcuenca – condiciones hídricas de año medio</t>
  </si>
  <si>
    <t>7 Tabla 24. IUA Cuenca Cachira Sur</t>
  </si>
  <si>
    <t>6 Cuadro 28. Valores y categoría del IUA por subcuenca en año medio y año seco. POMCA Pamplonita</t>
  </si>
  <si>
    <t>4 Tabla 25. Índice de vulnerabilidad por desabastecimiento (ivh)</t>
  </si>
  <si>
    <t>8 Tabla 119. Demanda por subcuenca del POMCA Río Lebrija Medio.</t>
  </si>
  <si>
    <t>9 Tabla 102. Índice de uso del agua condiciones promedio.</t>
  </si>
  <si>
    <t>5 Tabla 106. Índice de vulnerabilidad por desabastecimiento (IVH).</t>
  </si>
  <si>
    <t>10 Tabla 103. Índice de uso del agua condición seca.</t>
  </si>
  <si>
    <t>1 Tabla 3.257. Índice de Vulnerabilidad por Desabastecimiento Hídrico (IVH).</t>
  </si>
  <si>
    <t>OHT</t>
  </si>
  <si>
    <t>OHTD</t>
  </si>
  <si>
    <t>.2319-02-05</t>
  </si>
  <si>
    <t>.2319-02-04</t>
  </si>
  <si>
    <t>.2319-02-03</t>
  </si>
  <si>
    <t>.2319-03-02</t>
  </si>
  <si>
    <t>.2319-01-05</t>
  </si>
  <si>
    <t>.2319-01-02</t>
  </si>
  <si>
    <t>.2319-01-03</t>
  </si>
  <si>
    <t>.2319-01-01</t>
  </si>
  <si>
    <t>.2319-03-01</t>
  </si>
  <si>
    <t>Áreas de Drenaje Nivel 1</t>
  </si>
  <si>
    <t>Áreas de Drenaje Nivel 2</t>
  </si>
  <si>
    <t>S.I.: Sin Información</t>
  </si>
  <si>
    <t>ENA 2018</t>
  </si>
  <si>
    <t>Año Seco</t>
  </si>
  <si>
    <t>Fuente Información</t>
  </si>
  <si>
    <t>Balance Hídrico Pomca Algodonal</t>
  </si>
  <si>
    <t>Oferta Hídrica Disponible (Mm3)</t>
  </si>
  <si>
    <r>
      <t>Oferta Hídrica Total (Mm</t>
    </r>
    <r>
      <rPr>
        <vertAlign val="superscript"/>
        <sz val="10"/>
        <color theme="1"/>
        <rFont val="Calibri"/>
        <family val="2"/>
        <scheme val="minor"/>
      </rPr>
      <t>3</t>
    </r>
    <r>
      <rPr>
        <sz val="10"/>
        <color theme="1"/>
        <rFont val="Calibri"/>
        <family val="2"/>
        <scheme val="minor"/>
      </rPr>
      <t>)</t>
    </r>
  </si>
  <si>
    <t>Prueba</t>
  </si>
  <si>
    <t>% al que equivale la diferencia entre año seco - medio en relación con el valor del año medio</t>
  </si>
  <si>
    <t>x</t>
  </si>
  <si>
    <t>% al que equivale la diferencia entre año medio - húmedo en relación con el valor del año húmedo</t>
  </si>
  <si>
    <t>Afluentes Río Chitagá</t>
  </si>
  <si>
    <t>Área de Drenaje</t>
  </si>
  <si>
    <t>*En el Pomca la Demanda ídrica se presenta por municipio no por Subcuenca o área de drenaje</t>
  </si>
  <si>
    <t>Orinoco</t>
  </si>
  <si>
    <t>% al que corresponde la OHTD frente a la OHT año normal</t>
  </si>
  <si>
    <t>Diferencia entre la OHT y la OHTD año normal (m3/s)</t>
  </si>
  <si>
    <r>
      <t>Diferencia entre la OHT y la OHTD año normal (m</t>
    </r>
    <r>
      <rPr>
        <b/>
        <vertAlign val="superscript"/>
        <sz val="10"/>
        <color theme="1"/>
        <rFont val="Calibri"/>
        <family val="2"/>
        <scheme val="minor"/>
      </rPr>
      <t>3</t>
    </r>
    <r>
      <rPr>
        <b/>
        <sz val="10"/>
        <color theme="1"/>
        <rFont val="Calibri"/>
        <family val="2"/>
        <scheme val="minor"/>
      </rPr>
      <t>/s)</t>
    </r>
  </si>
  <si>
    <t>Dif año humedo/ año medio (m3/s)</t>
  </si>
  <si>
    <t>dif año medio/año seco (m3/s)</t>
  </si>
  <si>
    <t>Tabla 8</t>
  </si>
  <si>
    <r>
      <t>Demanda Hídrica por Uso (m</t>
    </r>
    <r>
      <rPr>
        <b/>
        <vertAlign val="superscript"/>
        <sz val="10"/>
        <color theme="0"/>
        <rFont val="Calibri"/>
        <family val="2"/>
        <scheme val="minor"/>
      </rPr>
      <t>3</t>
    </r>
    <r>
      <rPr>
        <b/>
        <sz val="10"/>
        <color theme="0"/>
        <rFont val="Calibri"/>
        <family val="2"/>
        <scheme val="minor"/>
      </rPr>
      <t>/s)</t>
    </r>
  </si>
  <si>
    <t>Sector Agrícola</t>
  </si>
  <si>
    <t>Sector Pecuario</t>
  </si>
  <si>
    <t>Sector Minero</t>
  </si>
  <si>
    <t>Doméstico o Demanda por consumo población</t>
  </si>
  <si>
    <t>_</t>
  </si>
  <si>
    <t>66,527,061 (m3/año)</t>
  </si>
  <si>
    <t>3,256,603
(m3/año)</t>
  </si>
  <si>
    <t xml:space="preserve">59,015,103
(m3/año) </t>
  </si>
  <si>
    <t>2 Tabla 3.116.Demanda hídrica total en la Cuenca del Río Zulia por Subcuencas. POMCA RIO ZULIA. Pág. 323-324</t>
  </si>
  <si>
    <t>Cuadro 26. Demanda hídrica sectorial en la cuenca del río Pamplonita. POMCA DEL RIO PAMPLONITA. Pág. 291</t>
  </si>
  <si>
    <t>* La demanda por uso se presenta para todos los municipios que conforman la cuenca del Rio Pamplonita, no se presenta por área de drenaje</t>
  </si>
  <si>
    <t>5 Tabla 15. Demanda total anual subcuenca Cachiri Alto. POMCA RIO CACHIRA SUR. Pág. 43-44</t>
  </si>
  <si>
    <t>4 Tabla 16. Demanda total anual subcuenca Romeritos. POMCA RIO CACHIRA SUR. Pág. 43-44</t>
  </si>
  <si>
    <t>3 Tabla 17. Demanda total anual subcuenca El Pino. POMCA RIO CACHIRA SUR. Pág. 43-44</t>
  </si>
  <si>
    <t>6 Tabla 119. Demanda por subcuenca del POMCA Río Lebrija Medio. POMCA RIO LEBRIJA MEDIO. Pág. 408</t>
  </si>
  <si>
    <t>Departamento</t>
  </si>
  <si>
    <t>Municipio</t>
  </si>
  <si>
    <t>Norte de Santander</t>
  </si>
  <si>
    <t>California</t>
  </si>
  <si>
    <t>Charta</t>
  </si>
  <si>
    <t>El Playón</t>
  </si>
  <si>
    <t>Guaca</t>
  </si>
  <si>
    <t>Matanza</t>
  </si>
  <si>
    <t>Piedecuesta</t>
  </si>
  <si>
    <t>Santa Bárbara</t>
  </si>
  <si>
    <t>Suratá</t>
  </si>
  <si>
    <t>Tona</t>
  </si>
  <si>
    <t>Vetas</t>
  </si>
  <si>
    <t>Chitagá</t>
  </si>
  <si>
    <t>Silos</t>
  </si>
  <si>
    <t>Cácota</t>
  </si>
  <si>
    <t>Mutiscua</t>
  </si>
  <si>
    <t>Labateca</t>
  </si>
  <si>
    <t>Pamplona</t>
  </si>
  <si>
    <t>Toledo</t>
  </si>
  <si>
    <t>Pamplonita</t>
  </si>
  <si>
    <t>Cucutilla</t>
  </si>
  <si>
    <t>Chinácota</t>
  </si>
  <si>
    <t>Arboledas</t>
  </si>
  <si>
    <t>Bochalema</t>
  </si>
  <si>
    <t>La Esperanza</t>
  </si>
  <si>
    <t>Cáchira</t>
  </si>
  <si>
    <t>Salazar</t>
  </si>
  <si>
    <t>Gramalote</t>
  </si>
  <si>
    <t>Lourdes</t>
  </si>
  <si>
    <t>Villa Caro</t>
  </si>
  <si>
    <t>Bucarasica</t>
  </si>
  <si>
    <t>Ábrego</t>
  </si>
  <si>
    <t>Santander</t>
  </si>
  <si>
    <t>Población</t>
  </si>
  <si>
    <t>Consumo mínimo (L/hab x día)</t>
  </si>
  <si>
    <t>Consumo máximo (L/hab x día)</t>
  </si>
  <si>
    <t>&lt; 2.500 habitantes</t>
  </si>
  <si>
    <t>2.500 a 12.500 habitantes</t>
  </si>
  <si>
    <t>…</t>
  </si>
  <si>
    <t>&gt; 60.000 habitantes</t>
  </si>
  <si>
    <t>12.500 a 60.000 habitantes</t>
  </si>
  <si>
    <t>Demanda Total de acuerdo al tamaño poblacional (L/día)</t>
  </si>
  <si>
    <r>
      <t>Demanda Total de acuerdo al tamaño poblacional (m</t>
    </r>
    <r>
      <rPr>
        <b/>
        <vertAlign val="superscript"/>
        <sz val="11"/>
        <color theme="0"/>
        <rFont val="Calibri"/>
        <family val="2"/>
        <scheme val="minor"/>
      </rPr>
      <t>3</t>
    </r>
    <r>
      <rPr>
        <b/>
        <sz val="11"/>
        <color theme="0"/>
        <rFont val="Calibri"/>
        <family val="2"/>
        <scheme val="minor"/>
      </rPr>
      <t>/seg)</t>
    </r>
  </si>
  <si>
    <t>Demanda Total de acuerdo al tamaño poblacional (l/seg)</t>
  </si>
  <si>
    <t>1 Tabla 3.253.Demanda total por subcuenca. POMCA RIO ALGODONAL. Pág. 515. Toma como referencia para la Dotación Neta por Habitante la tabla B.2.3. Título B. RAS 2000.</t>
  </si>
  <si>
    <t>Tabla 9</t>
  </si>
  <si>
    <t>7 Tabla 14. Demanda total anual por UHA cuenca Cáchira Sur.</t>
  </si>
  <si>
    <t>**</t>
  </si>
  <si>
    <t>** De acuerdo con lo indicado por el Pomca, la cuenca no presenta un alto índice de explotación pecuaria ni infraestructura para uso del recurso hídrico en la producción pecuaria, sin embargo, se tuvieron en cuenta las áreas de coberturas, con pastos, en el cálculo de la escorrentía superficial y están implícitos en la demanda Agrícola y doméstica.</t>
  </si>
  <si>
    <t>Sector Industrial</t>
  </si>
  <si>
    <r>
      <t>***</t>
    </r>
    <r>
      <rPr>
        <i/>
        <sz val="11"/>
        <color theme="1"/>
        <rFont val="Calibri"/>
        <family val="2"/>
        <scheme val="minor"/>
      </rPr>
      <t>En la zona solo son reportadas cuatro industrias de tipo mediano para el procesamiento de lácteos, tres están ubicadas en la zona poblada del Pino municipio del Playón, hay evidencia de industrias de muebles, pero estas son pequeñas y dispersas en el área… Los consumos de estas pequeñas y medianas fábricas se ven incluidos en los valores de uso doméstico por lo cual la oferta hídrica no se verá disminuida</t>
    </r>
  </si>
  <si>
    <t>***</t>
  </si>
  <si>
    <t>Tabla 10</t>
  </si>
  <si>
    <t>Muy bajo</t>
  </si>
  <si>
    <t>Total Áreas de drenaje con Información</t>
  </si>
  <si>
    <t>Clasificación IUA</t>
  </si>
  <si>
    <t>Número de Áreas de drenaje en esa clasificación</t>
  </si>
  <si>
    <t>% de áreas de dreanje en esa clasificación</t>
  </si>
  <si>
    <t>Río Cáchira del Espíritu Santo</t>
  </si>
  <si>
    <t>Tabla 11</t>
  </si>
  <si>
    <t>Tabla 12</t>
  </si>
  <si>
    <t>Tabla 13</t>
  </si>
  <si>
    <t>Tabla 15</t>
  </si>
  <si>
    <t>Tabla 16</t>
  </si>
  <si>
    <t>Tabla 17</t>
  </si>
  <si>
    <t>Tabla 20</t>
  </si>
  <si>
    <t>Tabla 23</t>
  </si>
  <si>
    <t>N.A.</t>
  </si>
  <si>
    <t xml:space="preserve">Floridablanca </t>
  </si>
  <si>
    <t>Girón</t>
  </si>
  <si>
    <t>Cúcuta</t>
  </si>
  <si>
    <t>Bucaramanga</t>
  </si>
  <si>
    <t>Villa del Rosario</t>
  </si>
  <si>
    <t>Los Patios</t>
  </si>
  <si>
    <t>El Zulia</t>
  </si>
  <si>
    <t>Puerto Santander</t>
  </si>
  <si>
    <t>San Cayetano</t>
  </si>
  <si>
    <t>Municipios Áreas Metropolitanas</t>
  </si>
  <si>
    <t>Subtotal</t>
  </si>
  <si>
    <t>Municipios con jurisdicción en el Páramo de Santurbán</t>
  </si>
  <si>
    <t>TOTAL</t>
  </si>
  <si>
    <t>Número de SZHs en esa clasificación</t>
  </si>
  <si>
    <t>% de SZHs en esa clasificación</t>
  </si>
  <si>
    <t>% deSZHs en esa clasificación</t>
  </si>
  <si>
    <r>
      <t>Demanda Hídrica Total (millones m</t>
    </r>
    <r>
      <rPr>
        <b/>
        <vertAlign val="superscript"/>
        <sz val="10"/>
        <color theme="0"/>
        <rFont val="Calibri"/>
        <family val="2"/>
        <scheme val="minor"/>
      </rPr>
      <t>3</t>
    </r>
    <r>
      <rPr>
        <b/>
        <sz val="10"/>
        <color theme="0"/>
        <rFont val="Calibri"/>
        <family val="2"/>
        <scheme val="minor"/>
      </rPr>
      <t>)</t>
    </r>
  </si>
  <si>
    <t>DATOS ENA 2018</t>
  </si>
  <si>
    <t xml:space="preserve">DATOS POMCAS </t>
  </si>
  <si>
    <t>Tabla 24</t>
  </si>
  <si>
    <t>Clasificación IACAL</t>
  </si>
  <si>
    <t>Clasificación IPHE</t>
  </si>
  <si>
    <t>Valor Promedio Año Medio</t>
  </si>
  <si>
    <t>Valor Promedio Año Seco</t>
  </si>
  <si>
    <t>1 Tabla 188 Índice de calidad promedio multianual de la cuenca.</t>
  </si>
  <si>
    <t>3 Tabla 202.  Rangos de Valores Del IACALtotal de la cuenca seco</t>
  </si>
  <si>
    <t>2 Tabla 3.288.Resultados IACAL año medio y seco en la Cuenca del Río Algodonal.</t>
  </si>
  <si>
    <t>4 Tabla 208.  Rangos de Valores Del IACALtotal de la cuenca media normal</t>
  </si>
  <si>
    <t xml:space="preserve">5 Tabla 76. Cálculo del IACAL para época media </t>
  </si>
  <si>
    <t xml:space="preserve">6 Tabla 82. Cálculo del IACAL para época seca </t>
  </si>
  <si>
    <t>7 Tabla 199 Cálculo del IACAL Para la época media</t>
  </si>
  <si>
    <t>8 Tabla 205 Cálculo del IACAL Para la época seca</t>
  </si>
  <si>
    <t>9 Figura 88. Índice de alteración potencial de la calidad del agua en condiciones hidrológicas de año medio en la cuenca del río Pamplonita. (mapa 29, anexo cartografía temática)</t>
  </si>
  <si>
    <t>10 Figura 89. Índice de alteración potencial de la calidad del agua en condiciones hidrológicas de año seco en la cuenca del río Pamplonita. (mapa 30, anexo cartografía temática)</t>
  </si>
  <si>
    <t>-</t>
  </si>
  <si>
    <t>11 Anexo 3.8.10.HojaCálculoIACAL. DX Pomca Río Zulia</t>
  </si>
  <si>
    <t>Número de áreas de drenaje en esa clasificación</t>
  </si>
  <si>
    <t>% de de áreas de drenaje en esa clasificación</t>
  </si>
  <si>
    <t>Número de de áreas de drenaje en esa clasificación</t>
  </si>
  <si>
    <t>Medio Alto</t>
  </si>
  <si>
    <t>Tabla 19</t>
  </si>
  <si>
    <t>ICA Tabla 18</t>
  </si>
  <si>
    <t>% Participación</t>
  </si>
  <si>
    <t>Tabla 14</t>
  </si>
  <si>
    <t>Tabla 18</t>
  </si>
  <si>
    <t>Tabla 25</t>
  </si>
  <si>
    <t>Tabla 27</t>
  </si>
  <si>
    <t>Tabla 26</t>
  </si>
  <si>
    <t>Tabla 28</t>
  </si>
  <si>
    <t>Tabla 29</t>
  </si>
  <si>
    <t>Número habitantes Total (Proyección Población 2020 DANE)</t>
  </si>
  <si>
    <t>Número habitantes Rural (Proyección Población 2020 DANE)</t>
  </si>
  <si>
    <t>Número habitantes Cabecera (Proyección Población 2020 DANE)</t>
  </si>
  <si>
    <t>San José de Cúcuta</t>
  </si>
  <si>
    <t xml:space="preserve">• Según los datos de los Pomca, la DHT para la SZH en el área de estudio es de 2430, 18 m3/s, mientras que la DHT calculada para el consumo de la población es de 5,41 m3/s, así que se infiere que el consumo de las actividades ganaderas, agrícolas y otras, hace uso del 99% del recurso hídrico cuantificado, como captado para actividades humanas.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</si>
</sst>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00"/>
    <numFmt numFmtId="166" formatCode="0.0"/>
    <numFmt numFmtId="167" formatCode="_(* #,##0_);_(* \(#,##0\);_(* &quot;-&quot;??_);_(@_)"/>
    <numFmt numFmtId="168" formatCode="_(* #,##0.000_);_(* \(#,##0.000\);_(* &quot;-&quot;??_);_(@_)"/>
    <numFmt numFmtId="169" formatCode="0.0000"/>
    <numFmt numFmtId="170" formatCode="_(* #,##0.00000_);_(* \(#,##0.00000\);_(* &quot;-&quot;??_);_(@_)"/>
    <numFmt numFmtId="171" formatCode="_(* #,##0.00000_);_(* \(#,##0.00000\);_(* &quot;-&quot;?????_);_(@_)"/>
  </numFmts>
  <fonts count="28" x14ac:knownFonts="1">
    <font>
      <sz val="11"/>
      <color theme="1"/>
      <name val="Calibri"/>
      <family val="2"/>
      <scheme val="minor"/>
    </font>
    <font>
      <b/>
      <sz val="10"/>
      <color theme="0"/>
      <name val="Calibri"/>
      <family val="2"/>
      <scheme val="minor"/>
    </font>
    <font>
      <sz val="10"/>
      <color theme="1"/>
      <name val="Calibri"/>
      <family val="2"/>
      <scheme val="minor"/>
    </font>
    <font>
      <sz val="9"/>
      <color indexed="81"/>
      <name val="Tahoma"/>
      <family val="2"/>
    </font>
    <font>
      <b/>
      <sz val="9"/>
      <color indexed="81"/>
      <name val="Tahoma"/>
      <family val="2"/>
    </font>
    <font>
      <sz val="10"/>
      <color rgb="FFFF0000"/>
      <name val="Calibri"/>
      <family val="2"/>
      <scheme val="minor"/>
    </font>
    <font>
      <b/>
      <sz val="10"/>
      <name val="Calibri"/>
      <family val="2"/>
      <scheme val="minor"/>
    </font>
    <font>
      <b/>
      <vertAlign val="superscript"/>
      <sz val="10"/>
      <color theme="0"/>
      <name val="Calibri"/>
      <family val="2"/>
      <scheme val="minor"/>
    </font>
    <font>
      <sz val="10"/>
      <name val="Calibri"/>
      <family val="2"/>
      <scheme val="minor"/>
    </font>
    <font>
      <sz val="10"/>
      <color rgb="FF000000"/>
      <name val="Calibri"/>
      <family val="2"/>
    </font>
    <font>
      <sz val="10"/>
      <color theme="1"/>
      <name val="Calibri"/>
      <family val="2"/>
    </font>
    <font>
      <sz val="9"/>
      <color indexed="81"/>
      <name val="Tahoma"/>
      <charset val="1"/>
    </font>
    <font>
      <b/>
      <sz val="9"/>
      <color indexed="81"/>
      <name val="Tahoma"/>
      <charset val="1"/>
    </font>
    <font>
      <b/>
      <sz val="10"/>
      <color rgb="FFFF0000"/>
      <name val="Calibri"/>
      <family val="2"/>
      <scheme val="minor"/>
    </font>
    <font>
      <b/>
      <sz val="10"/>
      <color rgb="FF00B050"/>
      <name val="Calibri"/>
      <family val="2"/>
      <scheme val="minor"/>
    </font>
    <font>
      <b/>
      <sz val="10"/>
      <color theme="1"/>
      <name val="Calibri"/>
      <family val="2"/>
      <scheme val="minor"/>
    </font>
    <font>
      <vertAlign val="superscript"/>
      <sz val="10"/>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vertAlign val="superscript"/>
      <sz val="10"/>
      <color theme="1"/>
      <name val="Calibri"/>
      <family val="2"/>
      <scheme val="minor"/>
    </font>
    <font>
      <sz val="11"/>
      <color rgb="FF000000"/>
      <name val="Calibri"/>
      <family val="2"/>
      <scheme val="minor"/>
    </font>
    <font>
      <b/>
      <sz val="10"/>
      <color rgb="FFFFFFFF"/>
      <name val="Calibri"/>
      <family val="2"/>
    </font>
    <font>
      <b/>
      <vertAlign val="superscript"/>
      <sz val="11"/>
      <color theme="0"/>
      <name val="Calibri"/>
      <family val="2"/>
      <scheme val="minor"/>
    </font>
    <font>
      <i/>
      <sz val="11"/>
      <color theme="1"/>
      <name val="Calibri"/>
      <family val="2"/>
      <scheme val="minor"/>
    </font>
    <font>
      <b/>
      <sz val="11"/>
      <color rgb="FF00B050"/>
      <name val="Calibri"/>
      <family val="2"/>
      <scheme val="minor"/>
    </font>
    <font>
      <b/>
      <sz val="11"/>
      <color rgb="FFFF0000"/>
      <name val="Calibri"/>
      <family val="2"/>
      <scheme val="minor"/>
    </font>
    <font>
      <b/>
      <strike/>
      <sz val="10"/>
      <name val="Calibri"/>
      <family val="2"/>
      <scheme val="minor"/>
    </font>
  </fonts>
  <fills count="10">
    <fill>
      <patternFill patternType="none"/>
    </fill>
    <fill>
      <patternFill patternType="gray125"/>
    </fill>
    <fill>
      <patternFill patternType="solid">
        <fgColor rgb="FF002060"/>
        <bgColor indexed="64"/>
      </patternFill>
    </fill>
    <fill>
      <patternFill patternType="solid">
        <fgColor rgb="FFFFFF00"/>
        <bgColor indexed="64"/>
      </patternFill>
    </fill>
    <fill>
      <patternFill patternType="solid">
        <fgColor rgb="FF0070C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0000"/>
        <bgColor indexed="64"/>
      </patternFill>
    </fill>
    <fill>
      <patternFill patternType="solid">
        <fgColor theme="5" tint="0.79998168889431442"/>
        <bgColor indexed="64"/>
      </patternFill>
    </fill>
    <fill>
      <patternFill patternType="solid">
        <fgColor theme="9" tint="0.59999389629810485"/>
        <bgColor indexed="64"/>
      </patternFill>
    </fill>
  </fills>
  <borders count="28">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164" fontId="17" fillId="0" borderId="0" applyFont="0" applyFill="0" applyBorder="0" applyAlignment="0" applyProtection="0"/>
  </cellStyleXfs>
  <cellXfs count="334">
    <xf numFmtId="0" fontId="0" fillId="0" borderId="0" xfId="0"/>
    <xf numFmtId="1" fontId="2" fillId="0" borderId="4" xfId="0" applyNumberFormat="1" applyFont="1" applyBorder="1"/>
    <xf numFmtId="1" fontId="2" fillId="0" borderId="5" xfId="0" applyNumberFormat="1" applyFont="1" applyBorder="1" applyAlignment="1">
      <alignment horizontal="center" vertical="center"/>
    </xf>
    <xf numFmtId="1" fontId="2" fillId="0" borderId="4" xfId="0" applyNumberFormat="1" applyFont="1" applyBorder="1" applyAlignment="1">
      <alignment horizontal="center" vertical="center"/>
    </xf>
    <xf numFmtId="1" fontId="2" fillId="3" borderId="4" xfId="0" applyNumberFormat="1" applyFont="1" applyFill="1" applyBorder="1" applyAlignment="1">
      <alignment horizontal="left"/>
    </xf>
    <xf numFmtId="0" fontId="2" fillId="0" borderId="4" xfId="0" applyFont="1" applyBorder="1"/>
    <xf numFmtId="1" fontId="2" fillId="0" borderId="4" xfId="0" applyNumberFormat="1" applyFont="1" applyBorder="1" applyAlignment="1">
      <alignment horizontal="left" vertical="center"/>
    </xf>
    <xf numFmtId="1" fontId="2" fillId="0" borderId="4" xfId="0" applyNumberFormat="1" applyFont="1" applyBorder="1" applyAlignment="1">
      <alignment horizontal="center" vertical="center"/>
    </xf>
    <xf numFmtId="0" fontId="2" fillId="0" borderId="5" xfId="0" applyFont="1" applyBorder="1" applyAlignment="1">
      <alignment horizontal="center" vertical="center" wrapText="1"/>
    </xf>
    <xf numFmtId="1" fontId="2" fillId="0" borderId="4" xfId="0" applyNumberFormat="1" applyFont="1" applyBorder="1" applyAlignment="1">
      <alignment horizontal="left"/>
    </xf>
    <xf numFmtId="0" fontId="2" fillId="0" borderId="4" xfId="0" applyFont="1" applyBorder="1" applyAlignment="1">
      <alignment horizontal="center" vertical="center"/>
    </xf>
    <xf numFmtId="1" fontId="2" fillId="3" borderId="4" xfId="0" applyNumberFormat="1" applyFont="1" applyFill="1" applyBorder="1" applyAlignment="1">
      <alignment horizontal="left" vertical="center"/>
    </xf>
    <xf numFmtId="0" fontId="0" fillId="0" borderId="4" xfId="0" applyBorder="1" applyAlignment="1">
      <alignment horizontal="center" vertical="center"/>
    </xf>
    <xf numFmtId="0" fontId="1" fillId="4" borderId="4" xfId="0" applyFont="1" applyFill="1" applyBorder="1" applyAlignment="1">
      <alignment horizontal="center" vertical="center"/>
    </xf>
    <xf numFmtId="1" fontId="2" fillId="0" borderId="4" xfId="0" applyNumberFormat="1" applyFont="1" applyBorder="1" applyAlignment="1">
      <alignment horizontal="left" vertical="center" wrapText="1"/>
    </xf>
    <xf numFmtId="0" fontId="2" fillId="0" borderId="0" xfId="0" applyFont="1"/>
    <xf numFmtId="0" fontId="2" fillId="0" borderId="0" xfId="0" applyFont="1" applyAlignment="1">
      <alignment horizontal="center" vertical="center"/>
    </xf>
    <xf numFmtId="1" fontId="2" fillId="0" borderId="4" xfId="0" applyNumberFormat="1" applyFont="1" applyBorder="1" applyAlignment="1">
      <alignment vertical="center" wrapText="1"/>
    </xf>
    <xf numFmtId="1" fontId="2" fillId="0" borderId="4" xfId="0" applyNumberFormat="1" applyFont="1" applyFill="1" applyBorder="1" applyAlignment="1">
      <alignment horizontal="left"/>
    </xf>
    <xf numFmtId="1" fontId="2" fillId="0" borderId="4" xfId="0" applyNumberFormat="1" applyFont="1" applyFill="1" applyBorder="1" applyAlignment="1">
      <alignment horizontal="left" vertical="center"/>
    </xf>
    <xf numFmtId="2" fontId="2" fillId="0" borderId="4" xfId="0" applyNumberFormat="1" applyFont="1" applyBorder="1" applyAlignment="1">
      <alignment horizontal="center" vertical="center"/>
    </xf>
    <xf numFmtId="2" fontId="2" fillId="0" borderId="4" xfId="0" applyNumberFormat="1" applyFont="1" applyBorder="1" applyAlignment="1">
      <alignment horizontal="center" vertical="center"/>
    </xf>
    <xf numFmtId="0" fontId="5" fillId="0" borderId="4" xfId="0" applyFont="1" applyBorder="1" applyAlignment="1">
      <alignment horizontal="center" vertical="center"/>
    </xf>
    <xf numFmtId="2" fontId="5" fillId="0" borderId="4" xfId="0" applyNumberFormat="1" applyFont="1" applyBorder="1" applyAlignment="1">
      <alignment horizontal="center" vertical="center"/>
    </xf>
    <xf numFmtId="2" fontId="2" fillId="0" borderId="4" xfId="0" applyNumberFormat="1" applyFont="1" applyBorder="1" applyAlignment="1">
      <alignment horizontal="center" vertical="center"/>
    </xf>
    <xf numFmtId="0" fontId="2" fillId="0" borderId="4" xfId="0" applyFont="1" applyBorder="1" applyAlignment="1">
      <alignment horizontal="center" vertical="center"/>
    </xf>
    <xf numFmtId="1" fontId="2" fillId="0" borderId="4" xfId="0" applyNumberFormat="1" applyFont="1" applyBorder="1" applyAlignment="1">
      <alignment horizontal="left" vertical="center" wrapText="1"/>
    </xf>
    <xf numFmtId="1" fontId="2" fillId="0" borderId="4" xfId="0" applyNumberFormat="1" applyFont="1" applyBorder="1" applyAlignment="1">
      <alignment horizontal="center" vertical="center"/>
    </xf>
    <xf numFmtId="1" fontId="2" fillId="0" borderId="4" xfId="0" applyNumberFormat="1" applyFont="1" applyBorder="1" applyAlignment="1">
      <alignment horizontal="left" vertical="center"/>
    </xf>
    <xf numFmtId="1" fontId="2" fillId="0" borderId="4" xfId="0" applyNumberFormat="1" applyFont="1" applyBorder="1" applyAlignment="1">
      <alignment vertical="center"/>
    </xf>
    <xf numFmtId="0" fontId="6" fillId="5" borderId="4"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0" xfId="0" applyFont="1" applyFill="1"/>
    <xf numFmtId="1" fontId="2" fillId="0" borderId="4" xfId="0" applyNumberFormat="1" applyFont="1" applyFill="1" applyBorder="1" applyAlignment="1">
      <alignment horizontal="center" vertical="center"/>
    </xf>
    <xf numFmtId="1" fontId="2" fillId="0" borderId="4" xfId="0" applyNumberFormat="1" applyFont="1" applyFill="1" applyBorder="1" applyAlignment="1">
      <alignment horizontal="left" vertical="center" wrapText="1"/>
    </xf>
    <xf numFmtId="1" fontId="2" fillId="0" borderId="5" xfId="0" applyNumberFormat="1" applyFont="1" applyFill="1" applyBorder="1" applyAlignment="1">
      <alignment horizontal="center" vertical="center"/>
    </xf>
    <xf numFmtId="1" fontId="2" fillId="0" borderId="5" xfId="0" applyNumberFormat="1" applyFont="1" applyFill="1" applyBorder="1" applyAlignment="1">
      <alignment horizontal="left" vertical="center"/>
    </xf>
    <xf numFmtId="1" fontId="2" fillId="0" borderId="5" xfId="0" applyNumberFormat="1" applyFont="1" applyFill="1" applyBorder="1" applyAlignment="1">
      <alignment horizontal="left" vertical="center" wrapText="1"/>
    </xf>
    <xf numFmtId="0" fontId="2" fillId="0" borderId="5" xfId="0" applyFont="1" applyFill="1" applyBorder="1" applyAlignment="1">
      <alignment horizontal="center" vertical="center"/>
    </xf>
    <xf numFmtId="1" fontId="2" fillId="0" borderId="0" xfId="0" applyNumberFormat="1" applyFont="1" applyFill="1" applyBorder="1" applyAlignment="1">
      <alignment horizontal="left" vertical="center"/>
    </xf>
    <xf numFmtId="1" fontId="2" fillId="3" borderId="4" xfId="0" applyNumberFormat="1" applyFont="1" applyFill="1" applyBorder="1"/>
    <xf numFmtId="0" fontId="2" fillId="3" borderId="4" xfId="0" applyFont="1" applyFill="1" applyBorder="1" applyAlignment="1">
      <alignment horizontal="left" vertical="center"/>
    </xf>
    <xf numFmtId="1" fontId="2" fillId="3" borderId="5" xfId="0" applyNumberFormat="1" applyFont="1" applyFill="1" applyBorder="1" applyAlignment="1">
      <alignment horizontal="left" vertical="center"/>
    </xf>
    <xf numFmtId="2" fontId="8" fillId="0" borderId="4" xfId="0" applyNumberFormat="1" applyFont="1" applyBorder="1" applyAlignment="1">
      <alignment horizontal="center" vertical="center"/>
    </xf>
    <xf numFmtId="165" fontId="5" fillId="0" borderId="4" xfId="0" applyNumberFormat="1" applyFont="1" applyBorder="1" applyAlignment="1">
      <alignment horizontal="center" vertical="center"/>
    </xf>
    <xf numFmtId="0" fontId="1" fillId="4" borderId="11"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1" xfId="0" applyFont="1" applyFill="1" applyBorder="1" applyAlignment="1">
      <alignment horizontal="center" vertical="center" wrapText="1"/>
    </xf>
    <xf numFmtId="1" fontId="2" fillId="0" borderId="4" xfId="0" applyNumberFormat="1" applyFont="1" applyBorder="1" applyAlignment="1">
      <alignment horizontal="center" vertical="center" wrapText="1"/>
    </xf>
    <xf numFmtId="0" fontId="0" fillId="0" borderId="0" xfId="0" applyAlignment="1">
      <alignment horizontal="center" vertical="center"/>
    </xf>
    <xf numFmtId="0" fontId="1" fillId="4" borderId="0" xfId="0" applyFont="1" applyFill="1" applyBorder="1" applyAlignment="1">
      <alignment horizontal="center" vertical="center" wrapText="1"/>
    </xf>
    <xf numFmtId="1" fontId="2" fillId="3" borderId="4" xfId="0" applyNumberFormat="1" applyFont="1" applyFill="1" applyBorder="1" applyAlignment="1">
      <alignment horizontal="left" vertical="center" wrapText="1"/>
    </xf>
    <xf numFmtId="1" fontId="2" fillId="3" borderId="4" xfId="0" applyNumberFormat="1" applyFont="1" applyFill="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2" fontId="2" fillId="0" borderId="4" xfId="0" applyNumberFormat="1" applyFont="1" applyBorder="1" applyAlignment="1">
      <alignment horizontal="center" vertical="center"/>
    </xf>
    <xf numFmtId="2" fontId="2" fillId="0" borderId="5" xfId="0" applyNumberFormat="1" applyFont="1" applyBorder="1" applyAlignment="1">
      <alignment horizontal="center" vertical="center"/>
    </xf>
    <xf numFmtId="0" fontId="0" fillId="0" borderId="0" xfId="0" applyAlignment="1">
      <alignment vertical="center"/>
    </xf>
    <xf numFmtId="0" fontId="2" fillId="0" borderId="4" xfId="0" applyFont="1" applyBorder="1" applyAlignment="1">
      <alignment vertical="center"/>
    </xf>
    <xf numFmtId="1" fontId="2" fillId="3" borderId="4" xfId="0" applyNumberFormat="1" applyFont="1" applyFill="1" applyBorder="1" applyAlignment="1">
      <alignment vertical="center"/>
    </xf>
    <xf numFmtId="165" fontId="2" fillId="0" borderId="4" xfId="0" applyNumberFormat="1" applyFont="1" applyBorder="1" applyAlignment="1">
      <alignment horizontal="center" vertical="center"/>
    </xf>
    <xf numFmtId="0" fontId="1" fillId="4" borderId="5" xfId="0" applyFont="1" applyFill="1" applyBorder="1" applyAlignment="1">
      <alignment horizontal="center" vertical="center" wrapText="1"/>
    </xf>
    <xf numFmtId="0" fontId="0" fillId="0" borderId="0" xfId="0" applyBorder="1"/>
    <xf numFmtId="2" fontId="8" fillId="0" borderId="5" xfId="0" applyNumberFormat="1" applyFont="1" applyBorder="1" applyAlignment="1">
      <alignment horizontal="center" vertical="center"/>
    </xf>
    <xf numFmtId="1" fontId="2" fillId="0" borderId="4" xfId="0" applyNumberFormat="1"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1" fontId="2" fillId="0" borderId="4" xfId="0" applyNumberFormat="1" applyFont="1" applyBorder="1" applyAlignment="1">
      <alignment horizontal="left" vertical="center"/>
    </xf>
    <xf numFmtId="1" fontId="2" fillId="0" borderId="4" xfId="0" applyNumberFormat="1" applyFont="1" applyBorder="1" applyAlignment="1">
      <alignment horizontal="left" vertical="center" wrapText="1"/>
    </xf>
    <xf numFmtId="0" fontId="2" fillId="0" borderId="4" xfId="0" applyFont="1" applyBorder="1" applyAlignment="1">
      <alignment horizontal="center" vertical="center"/>
    </xf>
    <xf numFmtId="2" fontId="13" fillId="0" borderId="4" xfId="0" applyNumberFormat="1" applyFont="1" applyBorder="1" applyAlignment="1">
      <alignment horizontal="center" vertical="center"/>
    </xf>
    <xf numFmtId="2" fontId="14" fillId="0" borderId="4" xfId="0" applyNumberFormat="1" applyFont="1" applyBorder="1" applyAlignment="1">
      <alignment horizontal="center" vertical="center"/>
    </xf>
    <xf numFmtId="1" fontId="2" fillId="0" borderId="0" xfId="0" applyNumberFormat="1" applyFont="1" applyFill="1" applyBorder="1" applyAlignment="1">
      <alignment horizontal="center" vertical="center"/>
    </xf>
    <xf numFmtId="0" fontId="14" fillId="0" borderId="4" xfId="0" applyFont="1" applyBorder="1" applyAlignment="1">
      <alignment horizontal="center" vertical="center"/>
    </xf>
    <xf numFmtId="2" fontId="2" fillId="0" borderId="0" xfId="0" applyNumberFormat="1" applyFont="1"/>
    <xf numFmtId="2" fontId="14" fillId="0" borderId="5" xfId="0" applyNumberFormat="1" applyFont="1" applyBorder="1" applyAlignment="1">
      <alignment horizontal="center" vertical="center"/>
    </xf>
    <xf numFmtId="1" fontId="2" fillId="0" borderId="3" xfId="0" applyNumberFormat="1" applyFont="1" applyBorder="1" applyAlignment="1">
      <alignment horizontal="left"/>
    </xf>
    <xf numFmtId="1" fontId="2" fillId="3" borderId="3" xfId="0" applyNumberFormat="1" applyFont="1" applyFill="1" applyBorder="1" applyAlignment="1">
      <alignment vertical="center"/>
    </xf>
    <xf numFmtId="0" fontId="13" fillId="0" borderId="4" xfId="0" applyFont="1" applyBorder="1" applyAlignment="1">
      <alignment horizontal="center" vertical="center"/>
    </xf>
    <xf numFmtId="1" fontId="15" fillId="0" borderId="4"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2" fontId="2" fillId="0" borderId="4" xfId="0" applyNumberFormat="1" applyFont="1" applyFill="1" applyBorder="1" applyAlignment="1">
      <alignment horizontal="center"/>
    </xf>
    <xf numFmtId="2" fontId="2" fillId="0" borderId="4" xfId="0" applyNumberFormat="1" applyFont="1" applyFill="1" applyBorder="1"/>
    <xf numFmtId="166" fontId="2" fillId="0" borderId="4" xfId="0" applyNumberFormat="1" applyFont="1" applyFill="1" applyBorder="1" applyAlignment="1">
      <alignment horizontal="center" vertical="center"/>
    </xf>
    <xf numFmtId="1" fontId="2" fillId="0" borderId="4" xfId="0" applyNumberFormat="1" applyFont="1" applyFill="1" applyBorder="1" applyAlignment="1">
      <alignment horizontal="center"/>
    </xf>
    <xf numFmtId="1" fontId="2" fillId="0" borderId="0" xfId="0" applyNumberFormat="1" applyFont="1"/>
    <xf numFmtId="2" fontId="2" fillId="0" borderId="0" xfId="0" applyNumberFormat="1" applyFont="1" applyFill="1" applyBorder="1" applyAlignment="1">
      <alignment horizontal="center"/>
    </xf>
    <xf numFmtId="2" fontId="2" fillId="0" borderId="0" xfId="0" applyNumberFormat="1" applyFont="1" applyFill="1" applyBorder="1"/>
    <xf numFmtId="166" fontId="2" fillId="0" borderId="0" xfId="0" applyNumberFormat="1" applyFont="1" applyFill="1" applyBorder="1" applyAlignment="1">
      <alignment horizontal="center" vertical="center"/>
    </xf>
    <xf numFmtId="1" fontId="2" fillId="0" borderId="0" xfId="0" applyNumberFormat="1" applyFont="1" applyFill="1" applyBorder="1" applyAlignment="1">
      <alignment horizontal="center"/>
    </xf>
    <xf numFmtId="166" fontId="2" fillId="0" borderId="4" xfId="0" applyNumberFormat="1" applyFont="1" applyFill="1" applyBorder="1" applyAlignment="1">
      <alignment horizontal="center"/>
    </xf>
    <xf numFmtId="2" fontId="14" fillId="0" borderId="4" xfId="0" applyNumberFormat="1" applyFont="1" applyFill="1" applyBorder="1" applyAlignment="1">
      <alignment horizontal="center"/>
    </xf>
    <xf numFmtId="0" fontId="15" fillId="0" borderId="0" xfId="0" applyFont="1" applyFill="1" applyAlignment="1">
      <alignment horizontal="center" vertical="center"/>
    </xf>
    <xf numFmtId="1" fontId="2" fillId="0" borderId="2" xfId="0" applyNumberFormat="1" applyFont="1" applyBorder="1" applyAlignment="1">
      <alignment horizontal="left" vertical="center" wrapText="1"/>
    </xf>
    <xf numFmtId="1" fontId="2" fillId="0" borderId="11" xfId="0" applyNumberFormat="1" applyFont="1" applyFill="1" applyBorder="1" applyAlignment="1">
      <alignment horizontal="left" vertical="center"/>
    </xf>
    <xf numFmtId="1" fontId="2" fillId="0" borderId="11" xfId="0" applyNumberFormat="1" applyFont="1" applyFill="1" applyBorder="1" applyAlignment="1">
      <alignment horizontal="left" vertical="center" wrapText="1"/>
    </xf>
    <xf numFmtId="1" fontId="2" fillId="0" borderId="2" xfId="0" applyNumberFormat="1" applyFont="1" applyFill="1" applyBorder="1" applyAlignment="1">
      <alignment horizontal="left"/>
    </xf>
    <xf numFmtId="1" fontId="2" fillId="0" borderId="2" xfId="0" applyNumberFormat="1" applyFont="1" applyFill="1" applyBorder="1" applyAlignment="1">
      <alignment horizontal="left" vertical="center" wrapText="1"/>
    </xf>
    <xf numFmtId="1" fontId="2" fillId="0" borderId="2" xfId="0" applyNumberFormat="1" applyFont="1" applyFill="1" applyBorder="1" applyAlignment="1">
      <alignment horizontal="left" vertical="center"/>
    </xf>
    <xf numFmtId="1" fontId="15" fillId="0" borderId="19" xfId="0" applyNumberFormat="1" applyFont="1" applyFill="1" applyBorder="1" applyAlignment="1">
      <alignment horizontal="center" vertical="center" wrapText="1"/>
    </xf>
    <xf numFmtId="1" fontId="15" fillId="0" borderId="20" xfId="0" applyNumberFormat="1" applyFont="1" applyFill="1" applyBorder="1" applyAlignment="1">
      <alignment horizontal="center" vertical="center" wrapText="1"/>
    </xf>
    <xf numFmtId="1" fontId="2" fillId="0" borderId="19" xfId="0" applyNumberFormat="1" applyFont="1" applyFill="1" applyBorder="1" applyAlignment="1">
      <alignment horizontal="center" vertical="center"/>
    </xf>
    <xf numFmtId="2" fontId="2" fillId="0" borderId="20" xfId="0" applyNumberFormat="1" applyFont="1" applyFill="1" applyBorder="1"/>
    <xf numFmtId="2" fontId="14" fillId="0" borderId="20" xfId="0" applyNumberFormat="1" applyFont="1" applyFill="1" applyBorder="1"/>
    <xf numFmtId="1" fontId="2" fillId="0" borderId="21" xfId="0" applyNumberFormat="1" applyFont="1" applyFill="1" applyBorder="1" applyAlignment="1">
      <alignment horizontal="center" vertical="center"/>
    </xf>
    <xf numFmtId="2" fontId="2" fillId="0" borderId="22" xfId="0" applyNumberFormat="1" applyFont="1" applyFill="1" applyBorder="1"/>
    <xf numFmtId="2" fontId="2" fillId="0" borderId="23" xfId="0" applyNumberFormat="1" applyFont="1" applyFill="1" applyBorder="1"/>
    <xf numFmtId="1" fontId="2" fillId="0" borderId="22" xfId="0" applyNumberFormat="1" applyFont="1" applyFill="1" applyBorder="1" applyAlignment="1">
      <alignment horizontal="center"/>
    </xf>
    <xf numFmtId="166" fontId="14" fillId="0" borderId="4" xfId="0" applyNumberFormat="1" applyFont="1" applyFill="1" applyBorder="1" applyAlignment="1">
      <alignment horizontal="center" vertical="center"/>
    </xf>
    <xf numFmtId="166" fontId="13" fillId="0" borderId="22" xfId="0" applyNumberFormat="1" applyFont="1" applyFill="1" applyBorder="1" applyAlignment="1">
      <alignment horizontal="center" vertical="center"/>
    </xf>
    <xf numFmtId="1" fontId="2" fillId="0" borderId="2" xfId="0" applyNumberFormat="1" applyFont="1" applyBorder="1" applyAlignment="1">
      <alignment horizontal="left" vertical="center"/>
    </xf>
    <xf numFmtId="2" fontId="2" fillId="0" borderId="0" xfId="0" applyNumberFormat="1" applyFont="1" applyAlignment="1">
      <alignment horizontal="center" vertical="center"/>
    </xf>
    <xf numFmtId="0" fontId="15" fillId="0" borderId="2" xfId="0" applyFont="1" applyFill="1" applyBorder="1" applyAlignment="1">
      <alignment horizontal="center" vertical="center"/>
    </xf>
    <xf numFmtId="1" fontId="2" fillId="0" borderId="2" xfId="0" applyNumberFormat="1" applyFont="1" applyBorder="1"/>
    <xf numFmtId="1" fontId="2" fillId="3" borderId="2" xfId="0" applyNumberFormat="1" applyFont="1" applyFill="1" applyBorder="1" applyAlignment="1">
      <alignment horizontal="left"/>
    </xf>
    <xf numFmtId="0" fontId="2" fillId="0" borderId="2" xfId="0" applyFont="1" applyBorder="1"/>
    <xf numFmtId="1" fontId="2" fillId="3" borderId="2" xfId="0" applyNumberFormat="1" applyFont="1" applyFill="1" applyBorder="1"/>
    <xf numFmtId="0" fontId="2" fillId="3" borderId="2" xfId="0" applyFont="1" applyFill="1" applyBorder="1" applyAlignment="1">
      <alignment horizontal="left" vertical="center"/>
    </xf>
    <xf numFmtId="2" fontId="2" fillId="0" borderId="19" xfId="0" applyNumberFormat="1" applyFont="1" applyBorder="1" applyAlignment="1">
      <alignment horizontal="center" vertical="center"/>
    </xf>
    <xf numFmtId="2" fontId="2" fillId="0" borderId="20" xfId="0" applyNumberFormat="1" applyFont="1" applyBorder="1" applyAlignment="1">
      <alignment horizontal="center" vertical="center"/>
    </xf>
    <xf numFmtId="2" fontId="13" fillId="0" borderId="20" xfId="0" applyNumberFormat="1" applyFont="1" applyBorder="1" applyAlignment="1">
      <alignment horizontal="center" vertical="center"/>
    </xf>
    <xf numFmtId="2" fontId="14" fillId="0" borderId="20" xfId="0" applyNumberFormat="1" applyFont="1" applyBorder="1" applyAlignment="1">
      <alignment horizontal="center" vertical="center"/>
    </xf>
    <xf numFmtId="2" fontId="2" fillId="0" borderId="21" xfId="0" applyNumberFormat="1" applyFont="1" applyBorder="1" applyAlignment="1">
      <alignment horizontal="center" vertical="center"/>
    </xf>
    <xf numFmtId="2" fontId="2" fillId="0" borderId="22" xfId="0" applyNumberFormat="1" applyFont="1" applyBorder="1" applyAlignment="1">
      <alignment horizontal="center" vertical="center"/>
    </xf>
    <xf numFmtId="2" fontId="2" fillId="0" borderId="23" xfId="0" applyNumberFormat="1" applyFont="1" applyBorder="1" applyAlignment="1">
      <alignment horizontal="center" vertical="center"/>
    </xf>
    <xf numFmtId="2" fontId="2" fillId="0" borderId="20" xfId="0" applyNumberFormat="1" applyFont="1" applyFill="1" applyBorder="1" applyAlignment="1">
      <alignment horizontal="center" vertical="center"/>
    </xf>
    <xf numFmtId="2" fontId="2" fillId="6" borderId="4" xfId="0" applyNumberFormat="1" applyFont="1" applyFill="1" applyBorder="1" applyAlignment="1">
      <alignment horizontal="center" vertical="center"/>
    </xf>
    <xf numFmtId="1" fontId="15" fillId="0" borderId="2" xfId="0" applyNumberFormat="1" applyFont="1" applyFill="1" applyBorder="1" applyAlignment="1">
      <alignment horizontal="center" vertical="center" wrapText="1"/>
    </xf>
    <xf numFmtId="2" fontId="2" fillId="0" borderId="2" xfId="0" applyNumberFormat="1" applyFont="1" applyBorder="1" applyAlignment="1">
      <alignment horizontal="center" vertical="center"/>
    </xf>
    <xf numFmtId="2" fontId="2" fillId="6" borderId="2" xfId="0" applyNumberFormat="1" applyFont="1" applyFill="1" applyBorder="1" applyAlignment="1">
      <alignment horizontal="center" vertical="center"/>
    </xf>
    <xf numFmtId="2" fontId="2" fillId="0" borderId="27" xfId="0" applyNumberFormat="1" applyFont="1" applyBorder="1" applyAlignment="1">
      <alignment horizontal="center" vertical="center"/>
    </xf>
    <xf numFmtId="0" fontId="15" fillId="0" borderId="24" xfId="0" applyFont="1" applyBorder="1" applyAlignment="1">
      <alignment horizontal="center" vertical="center" wrapText="1"/>
    </xf>
    <xf numFmtId="0" fontId="15" fillId="0" borderId="26" xfId="0" applyFont="1" applyBorder="1" applyAlignment="1">
      <alignment horizontal="center" vertical="center" wrapText="1"/>
    </xf>
    <xf numFmtId="1" fontId="2" fillId="0" borderId="19" xfId="0" applyNumberFormat="1" applyFont="1" applyBorder="1" applyAlignment="1">
      <alignment horizontal="center" vertical="center"/>
    </xf>
    <xf numFmtId="1" fontId="2" fillId="0" borderId="21" xfId="0" applyNumberFormat="1" applyFont="1" applyBorder="1" applyAlignment="1">
      <alignment horizontal="center" vertical="center"/>
    </xf>
    <xf numFmtId="166" fontId="2" fillId="0" borderId="2" xfId="0" applyNumberFormat="1" applyFont="1" applyFill="1" applyBorder="1" applyAlignment="1">
      <alignment horizontal="center" vertical="center"/>
    </xf>
    <xf numFmtId="166" fontId="14" fillId="0" borderId="2" xfId="0" applyNumberFormat="1" applyFont="1" applyFill="1" applyBorder="1" applyAlignment="1">
      <alignment horizontal="center" vertical="center"/>
    </xf>
    <xf numFmtId="166" fontId="13" fillId="0" borderId="2" xfId="0" applyNumberFormat="1" applyFont="1" applyFill="1" applyBorder="1" applyAlignment="1">
      <alignment horizontal="center" vertical="center"/>
    </xf>
    <xf numFmtId="166" fontId="2" fillId="0" borderId="27" xfId="0" applyNumberFormat="1" applyFont="1" applyFill="1" applyBorder="1" applyAlignment="1">
      <alignment horizontal="center" vertical="center"/>
    </xf>
    <xf numFmtId="2" fontId="2" fillId="0" borderId="19" xfId="0" applyNumberFormat="1" applyFont="1" applyFill="1" applyBorder="1"/>
    <xf numFmtId="2" fontId="2" fillId="0" borderId="21" xfId="0" applyNumberFormat="1" applyFont="1" applyFill="1" applyBorder="1"/>
    <xf numFmtId="2" fontId="2" fillId="0" borderId="23" xfId="0" applyNumberFormat="1" applyFont="1" applyFill="1" applyBorder="1" applyAlignment="1">
      <alignment horizontal="center" vertical="center"/>
    </xf>
    <xf numFmtId="2" fontId="14" fillId="0" borderId="20" xfId="0" applyNumberFormat="1" applyFont="1" applyFill="1" applyBorder="1" applyAlignment="1">
      <alignment horizontal="center" vertical="center"/>
    </xf>
    <xf numFmtId="2" fontId="13" fillId="0" borderId="20" xfId="0" applyNumberFormat="1" applyFont="1" applyFill="1" applyBorder="1" applyAlignment="1">
      <alignment horizontal="center" vertical="center"/>
    </xf>
    <xf numFmtId="0" fontId="19" fillId="0" borderId="0" xfId="0" applyFont="1"/>
    <xf numFmtId="0" fontId="2" fillId="0" borderId="5" xfId="0" applyFont="1" applyBorder="1" applyAlignment="1">
      <alignment vertical="center" wrapText="1"/>
    </xf>
    <xf numFmtId="0" fontId="0" fillId="0" borderId="4" xfId="0" applyBorder="1"/>
    <xf numFmtId="0" fontId="2" fillId="0" borderId="4" xfId="0" applyFont="1" applyBorder="1" applyAlignment="1">
      <alignment horizontal="center" vertical="center" wrapText="1"/>
    </xf>
    <xf numFmtId="2" fontId="0" fillId="0" borderId="0" xfId="0" applyNumberFormat="1" applyAlignment="1">
      <alignment horizontal="center" vertical="center"/>
    </xf>
    <xf numFmtId="0" fontId="8" fillId="0" borderId="4" xfId="0" applyFont="1" applyBorder="1" applyAlignment="1">
      <alignment horizontal="center" vertical="center"/>
    </xf>
    <xf numFmtId="0" fontId="18" fillId="2" borderId="4"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21" fillId="0" borderId="4" xfId="0" applyFont="1" applyBorder="1" applyAlignment="1">
      <alignment vertical="center"/>
    </xf>
    <xf numFmtId="167" fontId="21" fillId="0" borderId="4" xfId="1" applyNumberFormat="1" applyFont="1" applyBorder="1" applyAlignment="1">
      <alignment vertical="center"/>
    </xf>
    <xf numFmtId="0" fontId="22" fillId="2"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18" fillId="2" borderId="6" xfId="0" applyFont="1" applyFill="1" applyBorder="1" applyAlignment="1">
      <alignment horizontal="center" vertical="center" wrapText="1"/>
    </xf>
    <xf numFmtId="167" fontId="0" fillId="0" borderId="4" xfId="1" applyNumberFormat="1" applyFont="1" applyBorder="1" applyAlignment="1">
      <alignment vertical="center"/>
    </xf>
    <xf numFmtId="2" fontId="0" fillId="0" borderId="4" xfId="0" applyNumberFormat="1" applyBorder="1"/>
    <xf numFmtId="0" fontId="22" fillId="2" borderId="3" xfId="0" applyFont="1" applyFill="1" applyBorder="1" applyAlignment="1">
      <alignment horizontal="center" vertical="center" wrapText="1"/>
    </xf>
    <xf numFmtId="168" fontId="0" fillId="0" borderId="4" xfId="0" applyNumberFormat="1" applyBorder="1"/>
    <xf numFmtId="0" fontId="18" fillId="0" borderId="0" xfId="0" applyFont="1" applyFill="1" applyBorder="1" applyAlignment="1">
      <alignment horizontal="center" vertical="center" wrapText="1"/>
    </xf>
    <xf numFmtId="168" fontId="0" fillId="0" borderId="0" xfId="0" applyNumberFormat="1" applyFill="1" applyBorder="1"/>
    <xf numFmtId="0" fontId="0" fillId="0" borderId="0" xfId="0" applyFill="1" applyBorder="1"/>
    <xf numFmtId="0" fontId="2" fillId="0" borderId="4" xfId="0" applyFont="1" applyBorder="1" applyAlignment="1">
      <alignment horizontal="center" vertical="center"/>
    </xf>
    <xf numFmtId="2" fontId="13" fillId="0" borderId="22" xfId="0" applyNumberFormat="1" applyFont="1" applyFill="1" applyBorder="1" applyAlignment="1">
      <alignment horizontal="center"/>
    </xf>
    <xf numFmtId="2" fontId="13" fillId="0" borderId="20" xfId="0" applyNumberFormat="1" applyFont="1" applyFill="1" applyBorder="1"/>
    <xf numFmtId="1" fontId="2" fillId="0" borderId="4" xfId="0" applyNumberFormat="1" applyFont="1" applyBorder="1" applyAlignment="1">
      <alignment horizontal="center" vertical="center"/>
    </xf>
    <xf numFmtId="0" fontId="2" fillId="0" borderId="5" xfId="0" applyFont="1" applyBorder="1" applyAlignment="1">
      <alignment horizontal="center" vertical="center" wrapText="1"/>
    </xf>
    <xf numFmtId="1" fontId="2" fillId="0" borderId="4" xfId="0" applyNumberFormat="1" applyFont="1" applyBorder="1" applyAlignment="1">
      <alignment horizontal="left" vertical="center"/>
    </xf>
    <xf numFmtId="1" fontId="2" fillId="0" borderId="4" xfId="0" applyNumberFormat="1" applyFont="1" applyBorder="1" applyAlignment="1">
      <alignment horizontal="left" vertical="center" wrapText="1"/>
    </xf>
    <xf numFmtId="0" fontId="2" fillId="0" borderId="4" xfId="0" applyFont="1" applyBorder="1" applyAlignment="1">
      <alignment horizontal="center" vertical="center"/>
    </xf>
    <xf numFmtId="1" fontId="2" fillId="3" borderId="4" xfId="0" applyNumberFormat="1" applyFont="1" applyFill="1" applyBorder="1" applyAlignment="1">
      <alignment horizontal="left" vertical="center"/>
    </xf>
    <xf numFmtId="1" fontId="2" fillId="0" borderId="5" xfId="0" applyNumberFormat="1" applyFont="1" applyBorder="1" applyAlignment="1">
      <alignment horizontal="center" vertical="center"/>
    </xf>
    <xf numFmtId="1" fontId="2" fillId="0" borderId="3" xfId="0" applyNumberFormat="1" applyFont="1" applyBorder="1" applyAlignment="1">
      <alignment horizontal="left" vertical="center" wrapText="1"/>
    </xf>
    <xf numFmtId="2" fontId="2" fillId="0" borderId="4" xfId="0" applyNumberFormat="1" applyFont="1" applyFill="1" applyBorder="1" applyAlignment="1">
      <alignment horizontal="center" vertical="center"/>
    </xf>
    <xf numFmtId="169" fontId="0" fillId="0" borderId="4" xfId="0" applyNumberFormat="1" applyBorder="1" applyAlignment="1">
      <alignment horizontal="center" vertical="center"/>
    </xf>
    <xf numFmtId="169" fontId="2" fillId="0" borderId="4" xfId="0" applyNumberFormat="1" applyFont="1" applyBorder="1" applyAlignment="1">
      <alignment horizontal="center" vertical="center"/>
    </xf>
    <xf numFmtId="0" fontId="9" fillId="0" borderId="0" xfId="0" applyFont="1" applyBorder="1" applyAlignment="1">
      <alignment horizontal="left" vertical="center" wrapText="1"/>
    </xf>
    <xf numFmtId="0" fontId="10" fillId="0" borderId="4" xfId="0" applyFont="1" applyBorder="1" applyAlignment="1">
      <alignment horizontal="justify" vertical="center" wrapText="1"/>
    </xf>
    <xf numFmtId="165" fontId="13" fillId="0" borderId="4" xfId="0" applyNumberFormat="1" applyFont="1" applyBorder="1" applyAlignment="1">
      <alignment horizontal="center" vertical="center"/>
    </xf>
    <xf numFmtId="1" fontId="2" fillId="0" borderId="4" xfId="0" applyNumberFormat="1" applyFont="1" applyFill="1" applyBorder="1" applyAlignment="1">
      <alignment vertical="center"/>
    </xf>
    <xf numFmtId="169" fontId="8" fillId="0" borderId="4" xfId="0" applyNumberFormat="1" applyFont="1" applyFill="1" applyBorder="1" applyAlignment="1">
      <alignment horizontal="center" vertical="center"/>
    </xf>
    <xf numFmtId="169" fontId="2" fillId="0" borderId="4" xfId="0" applyNumberFormat="1" applyFont="1" applyFill="1" applyBorder="1" applyAlignment="1">
      <alignment horizontal="center" vertical="center"/>
    </xf>
    <xf numFmtId="2" fontId="19" fillId="0" borderId="0" xfId="0" applyNumberFormat="1" applyFont="1"/>
    <xf numFmtId="0" fontId="0" fillId="0" borderId="0" xfId="0" applyAlignment="1">
      <alignment vertical="top"/>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0" fillId="0" borderId="0" xfId="0" applyFill="1"/>
    <xf numFmtId="0" fontId="0" fillId="0" borderId="4" xfId="0" applyBorder="1" applyAlignment="1">
      <alignment vertical="center"/>
    </xf>
    <xf numFmtId="0" fontId="0" fillId="0" borderId="0" xfId="0" applyFill="1" applyAlignment="1">
      <alignment vertical="center"/>
    </xf>
    <xf numFmtId="166" fontId="0" fillId="0" borderId="4" xfId="0" applyNumberFormat="1" applyBorder="1"/>
    <xf numFmtId="167" fontId="21" fillId="0" borderId="4" xfId="1" applyNumberFormat="1" applyFont="1" applyBorder="1" applyAlignment="1">
      <alignment horizontal="center" vertical="center"/>
    </xf>
    <xf numFmtId="167" fontId="19" fillId="0" borderId="4" xfId="0" applyNumberFormat="1" applyFont="1" applyBorder="1"/>
    <xf numFmtId="164" fontId="19" fillId="0" borderId="4" xfId="0" applyNumberFormat="1" applyFont="1" applyBorder="1"/>
    <xf numFmtId="170" fontId="19" fillId="0" borderId="4" xfId="0" applyNumberFormat="1" applyFont="1" applyBorder="1"/>
    <xf numFmtId="167" fontId="19" fillId="0" borderId="4" xfId="0" applyNumberFormat="1" applyFont="1" applyBorder="1" applyAlignment="1">
      <alignment horizontal="center" vertical="center"/>
    </xf>
    <xf numFmtId="167" fontId="25" fillId="0" borderId="4" xfId="1" applyNumberFormat="1" applyFont="1" applyBorder="1" applyAlignment="1">
      <alignment vertical="center"/>
    </xf>
    <xf numFmtId="168" fontId="25" fillId="0" borderId="4" xfId="0" applyNumberFormat="1" applyFont="1" applyBorder="1"/>
    <xf numFmtId="167" fontId="26" fillId="0" borderId="4" xfId="1" applyNumberFormat="1" applyFont="1" applyBorder="1" applyAlignment="1">
      <alignment vertical="center"/>
    </xf>
    <xf numFmtId="168" fontId="26" fillId="0" borderId="4" xfId="0" applyNumberFormat="1" applyFont="1" applyBorder="1"/>
    <xf numFmtId="167" fontId="0" fillId="0" borderId="4" xfId="1" applyNumberFormat="1" applyFont="1" applyBorder="1"/>
    <xf numFmtId="170" fontId="26" fillId="0" borderId="4" xfId="0" applyNumberFormat="1" applyFont="1" applyBorder="1"/>
    <xf numFmtId="170" fontId="0" fillId="0" borderId="4" xfId="0" applyNumberFormat="1" applyBorder="1"/>
    <xf numFmtId="170" fontId="25" fillId="0" borderId="4" xfId="0" applyNumberFormat="1" applyFont="1" applyBorder="1"/>
    <xf numFmtId="167" fontId="25" fillId="0" borderId="4" xfId="1" applyNumberFormat="1" applyFont="1" applyBorder="1"/>
    <xf numFmtId="2" fontId="25" fillId="0" borderId="4" xfId="0" applyNumberFormat="1" applyFont="1" applyBorder="1"/>
    <xf numFmtId="167" fontId="0" fillId="0" borderId="0" xfId="0" applyNumberFormat="1" applyAlignment="1">
      <alignment horizontal="center" vertical="center"/>
    </xf>
    <xf numFmtId="0" fontId="0" fillId="0" borderId="6" xfId="0" applyFill="1" applyBorder="1"/>
    <xf numFmtId="2" fontId="15" fillId="0" borderId="4" xfId="0" applyNumberFormat="1" applyFont="1" applyBorder="1" applyAlignment="1">
      <alignment horizontal="center" vertical="center"/>
    </xf>
    <xf numFmtId="2" fontId="6" fillId="0" borderId="4" xfId="0" applyNumberFormat="1" applyFont="1" applyBorder="1" applyAlignment="1">
      <alignment horizontal="center" vertical="center"/>
    </xf>
    <xf numFmtId="0" fontId="19" fillId="0" borderId="0" xfId="0" applyFont="1" applyAlignment="1">
      <alignment horizontal="center"/>
    </xf>
    <xf numFmtId="2" fontId="2" fillId="0" borderId="0" xfId="0" applyNumberFormat="1" applyFont="1" applyBorder="1" applyAlignment="1">
      <alignment horizontal="center" vertical="center"/>
    </xf>
    <xf numFmtId="2" fontId="8" fillId="0" borderId="0" xfId="0" applyNumberFormat="1" applyFont="1" applyBorder="1" applyAlignment="1">
      <alignment horizontal="center" vertical="center"/>
    </xf>
    <xf numFmtId="1" fontId="8" fillId="0" borderId="4" xfId="0" applyNumberFormat="1" applyFont="1" applyBorder="1" applyAlignment="1">
      <alignment horizontal="center" vertical="center"/>
    </xf>
    <xf numFmtId="0" fontId="6" fillId="0" borderId="4" xfId="0" applyFont="1" applyBorder="1" applyAlignment="1">
      <alignment horizontal="center" vertical="center"/>
    </xf>
    <xf numFmtId="165" fontId="6" fillId="0" borderId="4" xfId="0" applyNumberFormat="1" applyFont="1" applyBorder="1" applyAlignment="1">
      <alignment horizontal="center" vertical="center"/>
    </xf>
    <xf numFmtId="2" fontId="6" fillId="0" borderId="5" xfId="0" applyNumberFormat="1" applyFont="1" applyBorder="1" applyAlignment="1">
      <alignment horizontal="center" vertical="center"/>
    </xf>
    <xf numFmtId="2" fontId="27" fillId="0" borderId="4" xfId="0" applyNumberFormat="1" applyFont="1" applyBorder="1" applyAlignment="1">
      <alignment horizontal="center" vertical="center"/>
    </xf>
    <xf numFmtId="2" fontId="5"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2" fontId="19" fillId="0" borderId="4" xfId="0" applyNumberFormat="1" applyFont="1" applyBorder="1"/>
    <xf numFmtId="2" fontId="0" fillId="0" borderId="0" xfId="0" applyNumberFormat="1"/>
    <xf numFmtId="0" fontId="19" fillId="0" borderId="0" xfId="0" applyFont="1" applyAlignment="1">
      <alignment horizontal="center" vertical="center"/>
    </xf>
    <xf numFmtId="0" fontId="2" fillId="0" borderId="4" xfId="0" applyFont="1" applyFill="1" applyBorder="1"/>
    <xf numFmtId="1" fontId="2" fillId="0" borderId="4" xfId="0" applyNumberFormat="1" applyFont="1" applyFill="1" applyBorder="1"/>
    <xf numFmtId="1" fontId="0" fillId="0" borderId="0" xfId="0" applyNumberFormat="1" applyFill="1"/>
    <xf numFmtId="0" fontId="2" fillId="0" borderId="4" xfId="0" applyFont="1" applyFill="1" applyBorder="1" applyAlignment="1">
      <alignment horizontal="left" vertical="center"/>
    </xf>
    <xf numFmtId="0" fontId="15" fillId="8" borderId="0" xfId="0" applyFont="1" applyFill="1"/>
    <xf numFmtId="0" fontId="19" fillId="8" borderId="0" xfId="0" applyFont="1" applyFill="1"/>
    <xf numFmtId="0" fontId="2" fillId="0" borderId="4" xfId="0" applyFont="1" applyFill="1" applyBorder="1" applyAlignment="1">
      <alignment vertical="center"/>
    </xf>
    <xf numFmtId="1" fontId="2" fillId="0" borderId="3" xfId="0" applyNumberFormat="1" applyFont="1" applyFill="1" applyBorder="1" applyAlignment="1">
      <alignment horizontal="left"/>
    </xf>
    <xf numFmtId="1" fontId="2" fillId="0" borderId="3" xfId="0" applyNumberFormat="1" applyFont="1" applyFill="1" applyBorder="1" applyAlignment="1">
      <alignment horizontal="left" vertical="center" wrapText="1"/>
    </xf>
    <xf numFmtId="1" fontId="2" fillId="0" borderId="4" xfId="0" applyNumberFormat="1" applyFont="1" applyFill="1" applyBorder="1" applyAlignment="1">
      <alignment vertical="center" wrapText="1"/>
    </xf>
    <xf numFmtId="0" fontId="8" fillId="0" borderId="4" xfId="0" applyFont="1" applyFill="1" applyBorder="1" applyAlignment="1">
      <alignment vertical="center"/>
    </xf>
    <xf numFmtId="1" fontId="2" fillId="0" borderId="3" xfId="0" applyNumberFormat="1" applyFont="1" applyFill="1" applyBorder="1" applyAlignment="1">
      <alignment vertical="center"/>
    </xf>
    <xf numFmtId="167" fontId="19" fillId="0" borderId="6" xfId="0" applyNumberFormat="1" applyFont="1" applyFill="1" applyBorder="1"/>
    <xf numFmtId="171" fontId="0" fillId="0" borderId="0" xfId="0" applyNumberFormat="1" applyFill="1" applyBorder="1"/>
    <xf numFmtId="2" fontId="2" fillId="7" borderId="4" xfId="0" applyNumberFormat="1" applyFont="1" applyFill="1" applyBorder="1" applyAlignment="1">
      <alignment horizontal="center" vertical="center"/>
    </xf>
    <xf numFmtId="2" fontId="14" fillId="7" borderId="4" xfId="0" applyNumberFormat="1" applyFont="1" applyFill="1" applyBorder="1" applyAlignment="1">
      <alignment horizontal="center" vertical="center"/>
    </xf>
    <xf numFmtId="1" fontId="0" fillId="0" borderId="4" xfId="0" applyNumberFormat="1" applyFill="1" applyBorder="1"/>
    <xf numFmtId="0" fontId="0" fillId="0" borderId="0" xfId="0" applyFill="1" applyAlignment="1">
      <alignment horizontal="center" vertical="center"/>
    </xf>
    <xf numFmtId="1" fontId="2" fillId="0" borderId="7" xfId="0" applyNumberFormat="1" applyFont="1" applyFill="1" applyBorder="1"/>
    <xf numFmtId="0" fontId="21" fillId="9" borderId="4" xfId="0" applyFont="1" applyFill="1" applyBorder="1" applyAlignment="1">
      <alignment vertical="center"/>
    </xf>
    <xf numFmtId="0" fontId="0" fillId="9" borderId="4" xfId="0" applyFill="1" applyBorder="1"/>
    <xf numFmtId="167" fontId="21" fillId="9" borderId="4" xfId="1" applyNumberFormat="1" applyFont="1" applyFill="1" applyBorder="1" applyAlignment="1">
      <alignment horizontal="center" vertical="center"/>
    </xf>
    <xf numFmtId="0" fontId="15" fillId="0" borderId="24" xfId="0" applyFont="1" applyFill="1" applyBorder="1" applyAlignment="1">
      <alignment horizontal="center"/>
    </xf>
    <xf numFmtId="0" fontId="15" fillId="0" borderId="25" xfId="0" applyFont="1" applyFill="1" applyBorder="1" applyAlignment="1">
      <alignment horizontal="center"/>
    </xf>
    <xf numFmtId="0" fontId="15" fillId="0" borderId="26" xfId="0" applyFont="1" applyFill="1" applyBorder="1" applyAlignment="1">
      <alignment horizontal="center"/>
    </xf>
    <xf numFmtId="0" fontId="1" fillId="2" borderId="5" xfId="0" applyFont="1" applyFill="1" applyBorder="1" applyAlignment="1">
      <alignment horizontal="center" wrapText="1"/>
    </xf>
    <xf numFmtId="0" fontId="1" fillId="2" borderId="7" xfId="0" applyFont="1" applyFill="1" applyBorder="1" applyAlignment="1">
      <alignment horizontal="center" wrapText="1"/>
    </xf>
    <xf numFmtId="0" fontId="1" fillId="2" borderId="0" xfId="0" applyFont="1" applyFill="1" applyBorder="1" applyAlignment="1">
      <alignment horizontal="center" vertical="center"/>
    </xf>
    <xf numFmtId="1" fontId="15" fillId="0" borderId="16" xfId="0" applyNumberFormat="1" applyFont="1" applyFill="1" applyBorder="1" applyAlignment="1">
      <alignment horizontal="center" vertical="center"/>
    </xf>
    <xf numFmtId="1" fontId="15" fillId="0" borderId="17" xfId="0" applyNumberFormat="1" applyFont="1" applyFill="1" applyBorder="1" applyAlignment="1">
      <alignment horizontal="center" vertical="center"/>
    </xf>
    <xf numFmtId="1" fontId="15" fillId="0" borderId="18" xfId="0" applyNumberFormat="1" applyFont="1" applyFill="1" applyBorder="1" applyAlignment="1">
      <alignment horizontal="center" vertical="center"/>
    </xf>
    <xf numFmtId="1" fontId="15" fillId="0" borderId="4" xfId="0" applyNumberFormat="1" applyFont="1" applyFill="1" applyBorder="1" applyAlignment="1">
      <alignment horizontal="center" vertical="center"/>
    </xf>
    <xf numFmtId="1" fontId="2" fillId="0" borderId="4" xfId="0" applyNumberFormat="1"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2"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14" xfId="0" applyFont="1" applyFill="1" applyBorder="1" applyAlignment="1">
      <alignment horizontal="center" vertical="center"/>
    </xf>
    <xf numFmtId="0" fontId="1" fillId="4" borderId="9" xfId="0" applyFont="1" applyFill="1" applyBorder="1" applyAlignment="1">
      <alignment horizontal="center" vertical="center"/>
    </xf>
    <xf numFmtId="0" fontId="2" fillId="0" borderId="7" xfId="0" applyFont="1" applyBorder="1" applyAlignment="1">
      <alignment horizontal="center" vertical="center"/>
    </xf>
    <xf numFmtId="1" fontId="2" fillId="0" borderId="5" xfId="0" applyNumberFormat="1" applyFont="1" applyBorder="1" applyAlignment="1">
      <alignment horizontal="left" vertical="center"/>
    </xf>
    <xf numFmtId="1" fontId="2" fillId="0" borderId="6" xfId="0" applyNumberFormat="1" applyFont="1" applyBorder="1" applyAlignment="1">
      <alignment horizontal="left" vertical="center"/>
    </xf>
    <xf numFmtId="1" fontId="2" fillId="0" borderId="7" xfId="0" applyNumberFormat="1" applyFont="1" applyBorder="1" applyAlignment="1">
      <alignment horizontal="left" vertical="center"/>
    </xf>
    <xf numFmtId="0" fontId="2" fillId="0" borderId="4" xfId="0" applyFont="1" applyBorder="1" applyAlignment="1">
      <alignment horizontal="center" vertical="center"/>
    </xf>
    <xf numFmtId="1" fontId="2" fillId="0" borderId="4" xfId="0" applyNumberFormat="1" applyFont="1" applyFill="1" applyBorder="1" applyAlignment="1">
      <alignment horizontal="left" vertical="center" wrapText="1"/>
    </xf>
    <xf numFmtId="1" fontId="2" fillId="0" borderId="4" xfId="0" applyNumberFormat="1" applyFont="1" applyBorder="1" applyAlignment="1">
      <alignment horizontal="left" vertical="center" wrapText="1"/>
    </xf>
    <xf numFmtId="1" fontId="2" fillId="0" borderId="5" xfId="0" applyNumberFormat="1" applyFont="1" applyBorder="1" applyAlignment="1">
      <alignment horizontal="center" vertical="center"/>
    </xf>
    <xf numFmtId="1" fontId="2" fillId="0" borderId="6" xfId="0" applyNumberFormat="1" applyFont="1" applyBorder="1" applyAlignment="1">
      <alignment horizontal="center" vertical="center"/>
    </xf>
    <xf numFmtId="1" fontId="2" fillId="0" borderId="7" xfId="0" applyNumberFormat="1" applyFont="1" applyBorder="1" applyAlignment="1">
      <alignment horizontal="center" vertical="center"/>
    </xf>
    <xf numFmtId="0" fontId="2" fillId="0" borderId="6" xfId="0" applyFont="1" applyBorder="1" applyAlignment="1">
      <alignment horizontal="center" vertical="center" wrapText="1"/>
    </xf>
    <xf numFmtId="1" fontId="2" fillId="0" borderId="4" xfId="0" applyNumberFormat="1" applyFont="1" applyFill="1" applyBorder="1" applyAlignment="1">
      <alignment horizontal="left" vertical="center"/>
    </xf>
    <xf numFmtId="1" fontId="2" fillId="0" borderId="5" xfId="0" applyNumberFormat="1" applyFont="1" applyFill="1" applyBorder="1" applyAlignment="1">
      <alignment horizontal="center" vertical="center" wrapText="1"/>
    </xf>
    <xf numFmtId="1" fontId="2" fillId="0" borderId="6" xfId="0" applyNumberFormat="1" applyFont="1" applyFill="1" applyBorder="1" applyAlignment="1">
      <alignment horizontal="center"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9" fillId="8" borderId="0" xfId="0" applyFont="1" applyFill="1" applyAlignment="1">
      <alignment horizontal="left"/>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4" xfId="0" applyFont="1" applyFill="1" applyBorder="1" applyAlignment="1">
      <alignment horizontal="left" vertical="center" wrapText="1"/>
    </xf>
    <xf numFmtId="0" fontId="18" fillId="2" borderId="5"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2" borderId="15" xfId="0" applyFont="1" applyFill="1" applyBorder="1" applyAlignment="1">
      <alignment horizontal="center" vertical="center"/>
    </xf>
    <xf numFmtId="1" fontId="2" fillId="0" borderId="3" xfId="0" applyNumberFormat="1" applyFont="1" applyFill="1" applyBorder="1" applyAlignment="1">
      <alignment horizontal="left" vertical="center"/>
    </xf>
    <xf numFmtId="1" fontId="2" fillId="0" borderId="3" xfId="0" applyNumberFormat="1" applyFont="1" applyFill="1" applyBorder="1" applyAlignment="1">
      <alignment horizontal="left" vertical="center" wrapText="1"/>
    </xf>
    <xf numFmtId="1" fontId="2" fillId="0" borderId="11" xfId="0" applyNumberFormat="1" applyFont="1" applyFill="1" applyBorder="1" applyAlignment="1">
      <alignment horizontal="center" vertical="center" wrapText="1"/>
    </xf>
    <xf numFmtId="1" fontId="2" fillId="0" borderId="15"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 fillId="4" borderId="12"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9" fillId="0" borderId="4" xfId="0" applyFont="1" applyBorder="1" applyAlignment="1">
      <alignment horizontal="center"/>
    </xf>
    <xf numFmtId="0" fontId="0" fillId="0" borderId="4" xfId="0" applyBorder="1" applyAlignment="1">
      <alignment horizontal="center" vertical="center" wrapText="1"/>
    </xf>
    <xf numFmtId="1" fontId="2" fillId="3" borderId="4" xfId="0" applyNumberFormat="1" applyFont="1" applyFill="1" applyBorder="1" applyAlignment="1">
      <alignment horizontal="left" vertical="center"/>
    </xf>
    <xf numFmtId="1" fontId="2" fillId="0" borderId="11" xfId="0" applyNumberFormat="1" applyFont="1" applyBorder="1" applyAlignment="1">
      <alignment horizontal="center" vertical="center" wrapText="1"/>
    </xf>
    <xf numFmtId="1" fontId="2" fillId="0" borderId="15" xfId="0" applyNumberFormat="1" applyFont="1" applyBorder="1" applyAlignment="1">
      <alignment horizontal="center" vertical="center" wrapText="1"/>
    </xf>
    <xf numFmtId="1" fontId="2" fillId="0" borderId="12" xfId="0" applyNumberFormat="1" applyFont="1" applyBorder="1" applyAlignment="1">
      <alignment horizontal="center" vertical="center" wrapText="1"/>
    </xf>
    <xf numFmtId="1" fontId="2" fillId="0" borderId="3" xfId="0" applyNumberFormat="1" applyFont="1" applyBorder="1" applyAlignment="1">
      <alignment horizontal="left" vertical="center"/>
    </xf>
    <xf numFmtId="1" fontId="2" fillId="0" borderId="3" xfId="0" applyNumberFormat="1" applyFont="1" applyBorder="1" applyAlignment="1">
      <alignment horizontal="left" vertical="center" wrapText="1"/>
    </xf>
    <xf numFmtId="0" fontId="19" fillId="0" borderId="0" xfId="0" applyFont="1" applyAlignment="1">
      <alignment horizontal="center"/>
    </xf>
    <xf numFmtId="0" fontId="1" fillId="4" borderId="4" xfId="0" applyFont="1" applyFill="1" applyBorder="1" applyAlignment="1">
      <alignment horizontal="center" vertical="center"/>
    </xf>
    <xf numFmtId="0" fontId="1" fillId="2" borderId="8" xfId="0" applyFont="1" applyFill="1" applyBorder="1" applyAlignment="1">
      <alignment horizontal="center" vertical="center" wrapText="1"/>
    </xf>
    <xf numFmtId="0" fontId="1" fillId="2" borderId="8" xfId="0" applyFont="1" applyFill="1" applyBorder="1" applyAlignment="1">
      <alignment horizontal="center" vertical="center"/>
    </xf>
    <xf numFmtId="0" fontId="1" fillId="2" borderId="15" xfId="0" applyFont="1" applyFill="1" applyBorder="1" applyAlignment="1">
      <alignment horizontal="center" vertical="center" wrapText="1"/>
    </xf>
    <xf numFmtId="0" fontId="1" fillId="2" borderId="9" xfId="0" applyFont="1" applyFill="1" applyBorder="1" applyAlignment="1">
      <alignment horizontal="center" vertical="center" wrapText="1"/>
    </xf>
    <xf numFmtId="1" fontId="2" fillId="0" borderId="4" xfId="0" applyNumberFormat="1" applyFont="1" applyBorder="1" applyAlignment="1">
      <alignment horizontal="left" vertical="center"/>
    </xf>
    <xf numFmtId="1" fontId="2" fillId="0" borderId="5"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1" fontId="2" fillId="0" borderId="7" xfId="0" applyNumberFormat="1" applyFont="1" applyBorder="1" applyAlignment="1">
      <alignment horizontal="left" vertical="center" wrapText="1"/>
    </xf>
    <xf numFmtId="167" fontId="0" fillId="0" borderId="0" xfId="0" applyNumberFormat="1"/>
  </cellXfs>
  <cellStyles count="2">
    <cellStyle name="Millares" xfId="1" builtinId="3"/>
    <cellStyle name="Normal"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Demanda Sectorial (%)</a:t>
            </a:r>
          </a:p>
        </c:rich>
      </c:tx>
      <c:layout>
        <c:manualLayout>
          <c:xMode val="edge"/>
          <c:yMode val="edge"/>
          <c:x val="0.30562994960403184"/>
          <c:y val="7.03075818304330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25"/>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ln>
              <a:solidFill>
                <a:srgbClr val="FF33CC"/>
              </a:solidFill>
            </a:ln>
            <a:scene3d>
              <a:camera prst="orthographicFront"/>
              <a:lightRig rig="threePt" dir="t"/>
            </a:scene3d>
            <a:sp3d>
              <a:contourClr>
                <a:srgbClr val="000000"/>
              </a:contourClr>
            </a:sp3d>
          </c:spPr>
          <c:explosion val="5"/>
          <c:dPt>
            <c:idx val="0"/>
            <c:bubble3D val="0"/>
            <c:spPr>
              <a:solidFill>
                <a:schemeClr val="accent1"/>
              </a:solidFill>
              <a:ln w="3175">
                <a:solidFill>
                  <a:srgbClr val="FF33CC"/>
                </a:solidFill>
              </a:ln>
              <a:effectLst/>
              <a:scene3d>
                <a:camera prst="orthographicFront"/>
                <a:lightRig rig="threePt" dir="t"/>
              </a:scene3d>
              <a:sp3d contourW="3175">
                <a:contourClr>
                  <a:srgbClr val="FF33CC"/>
                </a:contourClr>
              </a:sp3d>
            </c:spPr>
            <c:extLst>
              <c:ext xmlns:c16="http://schemas.microsoft.com/office/drawing/2014/chart" uri="{C3380CC4-5D6E-409C-BE32-E72D297353CC}">
                <c16:uniqueId val="{00000000-AC0F-4D4B-903E-98534ABC44C1}"/>
              </c:ext>
            </c:extLst>
          </c:dPt>
          <c:dPt>
            <c:idx val="1"/>
            <c:bubble3D val="0"/>
            <c:spPr>
              <a:solidFill>
                <a:schemeClr val="accent5">
                  <a:lumMod val="20000"/>
                  <a:lumOff val="80000"/>
                </a:schemeClr>
              </a:solidFill>
              <a:ln w="3175">
                <a:solidFill>
                  <a:srgbClr val="FF33CC"/>
                </a:solidFill>
              </a:ln>
              <a:effectLst/>
              <a:scene3d>
                <a:camera prst="orthographicFront"/>
                <a:lightRig rig="threePt" dir="t"/>
              </a:scene3d>
              <a:sp3d contourW="3175">
                <a:contourClr>
                  <a:srgbClr val="FF33CC"/>
                </a:contourClr>
              </a:sp3d>
            </c:spPr>
            <c:extLst>
              <c:ext xmlns:c16="http://schemas.microsoft.com/office/drawing/2014/chart" uri="{C3380CC4-5D6E-409C-BE32-E72D297353CC}">
                <c16:uniqueId val="{00000001-AC0F-4D4B-903E-98534ABC44C1}"/>
              </c:ext>
            </c:extLst>
          </c:dPt>
          <c:dPt>
            <c:idx val="2"/>
            <c:bubble3D val="0"/>
            <c:spPr>
              <a:solidFill>
                <a:srgbClr val="002060"/>
              </a:solidFill>
              <a:ln w="3175">
                <a:solidFill>
                  <a:srgbClr val="FF33CC"/>
                </a:solidFill>
              </a:ln>
              <a:effectLst/>
              <a:scene3d>
                <a:camera prst="orthographicFront"/>
                <a:lightRig rig="threePt" dir="t"/>
              </a:scene3d>
              <a:sp3d contourW="3175">
                <a:contourClr>
                  <a:srgbClr val="FF33CC"/>
                </a:contourClr>
              </a:sp3d>
            </c:spPr>
            <c:extLst>
              <c:ext xmlns:c16="http://schemas.microsoft.com/office/drawing/2014/chart" uri="{C3380CC4-5D6E-409C-BE32-E72D297353CC}">
                <c16:uniqueId val="{00000002-AC0F-4D4B-903E-98534ABC44C1}"/>
              </c:ext>
            </c:extLst>
          </c:dPt>
          <c:dLbls>
            <c:dLbl>
              <c:idx val="1"/>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6="http://schemas.microsoft.com/office/drawing/2014/chart" uri="{C3380CC4-5D6E-409C-BE32-E72D297353CC}">
                  <c16:uniqueId val="{00000001-AC0F-4D4B-903E-98534ABC44C1}"/>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'Demanda Sectorial Pomcas'!$Q$45:$Q$47</c:f>
              <c:strCache>
                <c:ptCount val="3"/>
                <c:pt idx="0">
                  <c:v>Sector Agrícola</c:v>
                </c:pt>
                <c:pt idx="1">
                  <c:v>Sector Pecuario</c:v>
                </c:pt>
                <c:pt idx="2">
                  <c:v>Sector Industrial</c:v>
                </c:pt>
              </c:strCache>
            </c:strRef>
          </c:cat>
          <c:val>
            <c:numRef>
              <c:f>'Demanda Sectorial Pomcas'!$R$45:$R$47</c:f>
              <c:numCache>
                <c:formatCode>0.00</c:formatCode>
                <c:ptCount val="3"/>
                <c:pt idx="0">
                  <c:v>29.659889580616593</c:v>
                </c:pt>
                <c:pt idx="1">
                  <c:v>19.025437752973229</c:v>
                </c:pt>
                <c:pt idx="2">
                  <c:v>51.314672666410182</c:v>
                </c:pt>
              </c:numCache>
            </c:numRef>
          </c:val>
          <c:extLst>
            <c:ext xmlns:c16="http://schemas.microsoft.com/office/drawing/2014/chart" uri="{C3380CC4-5D6E-409C-BE32-E72D297353CC}">
              <c16:uniqueId val="{00000003-AC0F-4D4B-903E-98534ABC44C1}"/>
            </c:ext>
          </c:extLst>
        </c:ser>
        <c:dLbls>
          <c:showLegendKey val="0"/>
          <c:showVal val="0"/>
          <c:showCatName val="0"/>
          <c:showSerName val="0"/>
          <c:showPercent val="0"/>
          <c:showBubbleSize val="0"/>
          <c:showLeaderLines val="1"/>
        </c:dLbls>
      </c:pie3DChart>
      <c:spPr>
        <a:noFill/>
        <a:ln>
          <a:noFill/>
        </a:ln>
        <a:effectLst/>
      </c:spPr>
    </c:plotArea>
    <c:legend>
      <c:legendPos val="r"/>
      <c:overlay val="0"/>
      <c:spPr>
        <a:noFill/>
        <a:ln w="3175">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zero"/>
    <c:showDLblsOverMax val="0"/>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a:sp3d>
  </c:spPr>
  <c:txPr>
    <a:bodyPr/>
    <a:lstStyle/>
    <a:p>
      <a:pPr>
        <a:defRPr/>
      </a:pPr>
      <a:endParaRPr lang="es-CO"/>
    </a:p>
  </c:tx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Participación en la Demanda</a:t>
            </a:r>
            <a:r>
              <a:rPr lang="en-US" baseline="0"/>
              <a:t> </a:t>
            </a:r>
            <a:r>
              <a:rPr lang="es-CO" sz="1400" b="0" i="0" u="none" strike="noStrike" baseline="0">
                <a:effectLst/>
              </a:rPr>
              <a:t>Hídrica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0555555555555561E-2"/>
          <c:y val="5.1342592592592613E-2"/>
          <c:w val="0.88389129483814544"/>
          <c:h val="0.68950249028136457"/>
        </c:manualLayout>
      </c:layout>
      <c:bar3DChart>
        <c:barDir val="col"/>
        <c:grouping val="standard"/>
        <c:varyColors val="0"/>
        <c:ser>
          <c:idx val="0"/>
          <c:order val="0"/>
          <c:tx>
            <c:strRef>
              <c:f>'Demanda Población'!$E$51</c:f>
              <c:strCache>
                <c:ptCount val="1"/>
                <c:pt idx="0">
                  <c:v>% Participación</c:v>
                </c:pt>
              </c:strCache>
            </c:strRef>
          </c:tx>
          <c:spPr>
            <a:solidFill>
              <a:srgbClr val="002060"/>
            </a:solidFill>
            <a:ln w="3175">
              <a:noFill/>
            </a:ln>
            <a:effectLst/>
            <a:sp3d/>
          </c:spPr>
          <c:invertIfNegative val="0"/>
          <c:cat>
            <c:strRef>
              <c:f>'Demanda Población'!$D$52:$D$90</c:f>
              <c:strCache>
                <c:ptCount val="39"/>
                <c:pt idx="0">
                  <c:v>California</c:v>
                </c:pt>
                <c:pt idx="1">
                  <c:v>Charta</c:v>
                </c:pt>
                <c:pt idx="2">
                  <c:v>El Playón</c:v>
                </c:pt>
                <c:pt idx="3">
                  <c:v>Guaca</c:v>
                </c:pt>
                <c:pt idx="4">
                  <c:v>Matanza</c:v>
                </c:pt>
                <c:pt idx="5">
                  <c:v>Piedecuesta</c:v>
                </c:pt>
                <c:pt idx="6">
                  <c:v>Santa Bárbara</c:v>
                </c:pt>
                <c:pt idx="7">
                  <c:v>Suratá</c:v>
                </c:pt>
                <c:pt idx="8">
                  <c:v>Tona</c:v>
                </c:pt>
                <c:pt idx="9">
                  <c:v>Vetas</c:v>
                </c:pt>
                <c:pt idx="10">
                  <c:v>Ábrego</c:v>
                </c:pt>
                <c:pt idx="11">
                  <c:v>Arboledas</c:v>
                </c:pt>
                <c:pt idx="12">
                  <c:v>Bochalema</c:v>
                </c:pt>
                <c:pt idx="13">
                  <c:v>Bucarasica</c:v>
                </c:pt>
                <c:pt idx="14">
                  <c:v>Cáchira</c:v>
                </c:pt>
                <c:pt idx="15">
                  <c:v>Cácota</c:v>
                </c:pt>
                <c:pt idx="16">
                  <c:v>Chinácota</c:v>
                </c:pt>
                <c:pt idx="17">
                  <c:v>Chitagá</c:v>
                </c:pt>
                <c:pt idx="18">
                  <c:v>Cucutilla</c:v>
                </c:pt>
                <c:pt idx="19">
                  <c:v>Gramalote</c:v>
                </c:pt>
                <c:pt idx="20">
                  <c:v>La Esperanza</c:v>
                </c:pt>
                <c:pt idx="21">
                  <c:v>Labateca</c:v>
                </c:pt>
                <c:pt idx="22">
                  <c:v>Lourdes</c:v>
                </c:pt>
                <c:pt idx="23">
                  <c:v>Mutiscua</c:v>
                </c:pt>
                <c:pt idx="24">
                  <c:v>Pamplona</c:v>
                </c:pt>
                <c:pt idx="25">
                  <c:v>Pamplonita</c:v>
                </c:pt>
                <c:pt idx="26">
                  <c:v>Salazar</c:v>
                </c:pt>
                <c:pt idx="27">
                  <c:v>Silos</c:v>
                </c:pt>
                <c:pt idx="28">
                  <c:v>Toledo</c:v>
                </c:pt>
                <c:pt idx="29">
                  <c:v>Villa Caro</c:v>
                </c:pt>
                <c:pt idx="30">
                  <c:v>Bucaramanga</c:v>
                </c:pt>
                <c:pt idx="31">
                  <c:v>Floridablanca </c:v>
                </c:pt>
                <c:pt idx="32">
                  <c:v>Girón</c:v>
                </c:pt>
                <c:pt idx="33">
                  <c:v>Cúcuta</c:v>
                </c:pt>
                <c:pt idx="34">
                  <c:v>El Zulia</c:v>
                </c:pt>
                <c:pt idx="35">
                  <c:v>Los Patios</c:v>
                </c:pt>
                <c:pt idx="36">
                  <c:v>Puerto Santander</c:v>
                </c:pt>
                <c:pt idx="37">
                  <c:v>San Cayetano</c:v>
                </c:pt>
                <c:pt idx="38">
                  <c:v>Villa del Rosario</c:v>
                </c:pt>
              </c:strCache>
            </c:strRef>
          </c:cat>
          <c:val>
            <c:numRef>
              <c:f>'Demanda Población'!$E$52:$E$90</c:f>
              <c:numCache>
                <c:formatCode>0.0</c:formatCode>
                <c:ptCount val="39"/>
                <c:pt idx="0">
                  <c:v>7.168002959691544E-2</c:v>
                </c:pt>
                <c:pt idx="1">
                  <c:v>0.11129673412682356</c:v>
                </c:pt>
                <c:pt idx="2">
                  <c:v>0.54099153520510701</c:v>
                </c:pt>
                <c:pt idx="3">
                  <c:v>0.22771897574632977</c:v>
                </c:pt>
                <c:pt idx="4">
                  <c:v>0.1940370693658437</c:v>
                </c:pt>
                <c:pt idx="5">
                  <c:v>7.0508099650656204</c:v>
                </c:pt>
                <c:pt idx="6">
                  <c:v>7.8616806654681459E-2</c:v>
                </c:pt>
                <c:pt idx="7">
                  <c:v>0.15364961182951714</c:v>
                </c:pt>
                <c:pt idx="8">
                  <c:v>0.29743358517687818</c:v>
                </c:pt>
                <c:pt idx="9">
                  <c:v>7.198833079948283E-2</c:v>
                </c:pt>
                <c:pt idx="10">
                  <c:v>1.3076210130392141</c:v>
                </c:pt>
                <c:pt idx="11">
                  <c:v>0.38753461162719449</c:v>
                </c:pt>
                <c:pt idx="12">
                  <c:v>0.34086551708855761</c:v>
                </c:pt>
                <c:pt idx="13">
                  <c:v>0.25720027824183533</c:v>
                </c:pt>
                <c:pt idx="14">
                  <c:v>0.43154460829368774</c:v>
                </c:pt>
                <c:pt idx="15">
                  <c:v>0.11229871303516753</c:v>
                </c:pt>
                <c:pt idx="16">
                  <c:v>0.72674300975195238</c:v>
                </c:pt>
                <c:pt idx="17">
                  <c:v>0.47763563807751075</c:v>
                </c:pt>
                <c:pt idx="18">
                  <c:v>0.32660658646981633</c:v>
                </c:pt>
                <c:pt idx="19">
                  <c:v>0.29650868156917604</c:v>
                </c:pt>
                <c:pt idx="20">
                  <c:v>0.4768263474207714</c:v>
                </c:pt>
                <c:pt idx="21">
                  <c:v>0.25334651320974311</c:v>
                </c:pt>
                <c:pt idx="22">
                  <c:v>0.16151129249498528</c:v>
                </c:pt>
                <c:pt idx="23">
                  <c:v>0.17457555595377794</c:v>
                </c:pt>
                <c:pt idx="24">
                  <c:v>2.0775261911505996</c:v>
                </c:pt>
                <c:pt idx="25">
                  <c:v>0.22324860830910279</c:v>
                </c:pt>
                <c:pt idx="26">
                  <c:v>0.41343191264285423</c:v>
                </c:pt>
                <c:pt idx="27">
                  <c:v>0.25226745900075725</c:v>
                </c:pt>
                <c:pt idx="28">
                  <c:v>0.62912714148905624</c:v>
                </c:pt>
                <c:pt idx="29">
                  <c:v>0.20436515965185087</c:v>
                </c:pt>
                <c:pt idx="30">
                  <c:v>23.408847859137179</c:v>
                </c:pt>
                <c:pt idx="31">
                  <c:v>11.865588383210687</c:v>
                </c:pt>
                <c:pt idx="32">
                  <c:v>6.6247762407678241</c:v>
                </c:pt>
                <c:pt idx="33">
                  <c:v>29.947839290290631</c:v>
                </c:pt>
                <c:pt idx="34">
                  <c:v>1.1326986182325478</c:v>
                </c:pt>
                <c:pt idx="35">
                  <c:v>3.7466303642000645</c:v>
                </c:pt>
                <c:pt idx="36">
                  <c:v>0.35693571727238216</c:v>
                </c:pt>
                <c:pt idx="37">
                  <c:v>0.30020829599998461</c:v>
                </c:pt>
                <c:pt idx="38">
                  <c:v>4.2874677488038877</c:v>
                </c:pt>
              </c:numCache>
            </c:numRef>
          </c:val>
          <c:extLst>
            <c:ext xmlns:c16="http://schemas.microsoft.com/office/drawing/2014/chart" uri="{C3380CC4-5D6E-409C-BE32-E72D297353CC}">
              <c16:uniqueId val="{00000000-6B50-445C-99F8-90EBFAE32C9D}"/>
            </c:ext>
          </c:extLst>
        </c:ser>
        <c:dLbls>
          <c:showLegendKey val="0"/>
          <c:showVal val="0"/>
          <c:showCatName val="0"/>
          <c:showSerName val="0"/>
          <c:showPercent val="0"/>
          <c:showBubbleSize val="0"/>
        </c:dLbls>
        <c:gapWidth val="150"/>
        <c:shape val="box"/>
        <c:axId val="129089920"/>
        <c:axId val="129091840"/>
        <c:axId val="126463488"/>
      </c:bar3DChart>
      <c:catAx>
        <c:axId val="129089920"/>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s-CO" sz="1050"/>
                  <a:t>Municipios</a:t>
                </a:r>
              </a:p>
            </c:rich>
          </c:tx>
          <c:layout>
            <c:manualLayout>
              <c:xMode val="edge"/>
              <c:yMode val="edge"/>
              <c:x val="0.44133442915595156"/>
              <c:y val="0.82445263276600067"/>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CO"/>
          </a:p>
        </c:txPr>
        <c:crossAx val="129091840"/>
        <c:crossesAt val="0"/>
        <c:auto val="1"/>
        <c:lblAlgn val="ctr"/>
        <c:lblOffset val="100"/>
        <c:noMultiLvlLbl val="0"/>
      </c:catAx>
      <c:valAx>
        <c:axId val="129091840"/>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0"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089920"/>
        <c:crosses val="autoZero"/>
        <c:crossBetween val="between"/>
        <c:minorUnit val="5"/>
      </c:valAx>
      <c:serAx>
        <c:axId val="126463488"/>
        <c:scaling>
          <c:orientation val="minMax"/>
        </c:scaling>
        <c:delete val="1"/>
        <c:axPos val="b"/>
        <c:majorTickMark val="none"/>
        <c:minorTickMark val="none"/>
        <c:tickLblPos val="none"/>
        <c:crossAx val="129091840"/>
        <c:crossesAt val="0"/>
      </c:ser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a:sp3d>
  </c:spPr>
  <c:txPr>
    <a:bodyPr/>
    <a:lstStyle/>
    <a:p>
      <a:pPr>
        <a:defRPr/>
      </a:pPr>
      <a:endParaRPr lang="es-CO"/>
    </a:p>
  </c:txPr>
  <c:printSettings>
    <c:headerFooter/>
    <c:pageMargins b="0.75000000000000022" l="0.70000000000000018" r="0.70000000000000018" t="0.75000000000000022" header="0.3000000000000001" footer="0.3000000000000001"/>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18</xdr:col>
      <xdr:colOff>495299</xdr:colOff>
      <xdr:row>42</xdr:row>
      <xdr:rowOff>119062</xdr:rowOff>
    </xdr:from>
    <xdr:to>
      <xdr:col>24</xdr:col>
      <xdr:colOff>333374</xdr:colOff>
      <xdr:row>54</xdr:row>
      <xdr:rowOff>95250</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47625</xdr:colOff>
      <xdr:row>50</xdr:row>
      <xdr:rowOff>52387</xdr:rowOff>
    </xdr:from>
    <xdr:to>
      <xdr:col>12</xdr:col>
      <xdr:colOff>57150</xdr:colOff>
      <xdr:row>65</xdr:row>
      <xdr:rowOff>85725</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Z41"/>
  <sheetViews>
    <sheetView workbookViewId="0">
      <selection activeCell="D20" sqref="D20"/>
    </sheetView>
  </sheetViews>
  <sheetFormatPr baseColWidth="10" defaultRowHeight="12.75" x14ac:dyDescent="0.2"/>
  <cols>
    <col min="1" max="1" width="6" style="15" customWidth="1"/>
    <col min="2" max="2" width="6.85546875" style="15" customWidth="1"/>
    <col min="3" max="3" width="4" style="15" bestFit="1" customWidth="1"/>
    <col min="4" max="4" width="11.42578125" style="15"/>
    <col min="5" max="5" width="4" style="15" bestFit="1" customWidth="1"/>
    <col min="6" max="6" width="11.42578125" style="15"/>
    <col min="7" max="7" width="5" style="15" bestFit="1" customWidth="1"/>
    <col min="8" max="8" width="19.140625" style="15" customWidth="1"/>
    <col min="9" max="13" width="11.42578125" style="15" customWidth="1"/>
    <col min="14" max="14" width="11.42578125" style="16" customWidth="1"/>
    <col min="15" max="16" width="10.140625" style="15" bestFit="1" customWidth="1"/>
    <col min="17" max="17" width="11.42578125" style="15"/>
    <col min="18" max="18" width="12.42578125" style="15" bestFit="1" customWidth="1"/>
    <col min="19" max="16384" width="11.42578125" style="15"/>
  </cols>
  <sheetData>
    <row r="1" spans="3:26" x14ac:dyDescent="0.2">
      <c r="I1" s="229" t="s">
        <v>212</v>
      </c>
      <c r="L1" s="229" t="s">
        <v>282</v>
      </c>
      <c r="O1" s="229" t="s">
        <v>290</v>
      </c>
    </row>
    <row r="2" spans="3:26" ht="12.75" customHeight="1" x14ac:dyDescent="0.2">
      <c r="C2" s="252" t="s">
        <v>0</v>
      </c>
      <c r="D2" s="252"/>
      <c r="E2" s="252" t="s">
        <v>1</v>
      </c>
      <c r="F2" s="252"/>
      <c r="G2" s="252" t="s">
        <v>2</v>
      </c>
      <c r="H2" s="252"/>
      <c r="I2" s="263" t="s">
        <v>118</v>
      </c>
      <c r="J2" s="264"/>
      <c r="K2" s="265"/>
      <c r="L2" s="262" t="s">
        <v>121</v>
      </c>
      <c r="M2" s="262"/>
      <c r="N2" s="262"/>
      <c r="O2" s="262" t="s">
        <v>72</v>
      </c>
      <c r="P2" s="262"/>
    </row>
    <row r="3" spans="3:26" ht="12.75" customHeight="1" x14ac:dyDescent="0.2">
      <c r="C3" s="47" t="s">
        <v>127</v>
      </c>
      <c r="D3" s="47" t="s">
        <v>128</v>
      </c>
      <c r="E3" s="47" t="s">
        <v>127</v>
      </c>
      <c r="F3" s="47" t="s">
        <v>128</v>
      </c>
      <c r="G3" s="47" t="s">
        <v>127</v>
      </c>
      <c r="H3" s="47" t="s">
        <v>128</v>
      </c>
      <c r="I3" s="13" t="s">
        <v>117</v>
      </c>
      <c r="J3" s="13" t="s">
        <v>61</v>
      </c>
      <c r="K3" s="13" t="s">
        <v>68</v>
      </c>
      <c r="L3" s="13" t="s">
        <v>117</v>
      </c>
      <c r="M3" s="13" t="s">
        <v>61</v>
      </c>
      <c r="N3" s="13" t="s">
        <v>68</v>
      </c>
      <c r="O3" s="13" t="s">
        <v>122</v>
      </c>
      <c r="P3" s="13" t="s">
        <v>123</v>
      </c>
    </row>
    <row r="4" spans="3:26" x14ac:dyDescent="0.2">
      <c r="C4" s="260">
        <v>1</v>
      </c>
      <c r="D4" s="260" t="s">
        <v>4</v>
      </c>
      <c r="E4" s="260">
        <v>16</v>
      </c>
      <c r="F4" s="260" t="s">
        <v>5</v>
      </c>
      <c r="G4" s="10">
        <v>1605</v>
      </c>
      <c r="H4" s="14" t="s">
        <v>6</v>
      </c>
      <c r="I4" s="21">
        <v>1907.8</v>
      </c>
      <c r="J4" s="21">
        <v>607.5</v>
      </c>
      <c r="K4" s="21">
        <v>5288.5</v>
      </c>
      <c r="L4" s="21">
        <v>1170.2</v>
      </c>
      <c r="M4" s="21">
        <v>372.6</v>
      </c>
      <c r="N4" s="21">
        <v>3240.7</v>
      </c>
      <c r="O4" s="21">
        <v>0.66</v>
      </c>
      <c r="P4" s="10" t="s">
        <v>125</v>
      </c>
    </row>
    <row r="5" spans="3:26" x14ac:dyDescent="0.2">
      <c r="C5" s="261"/>
      <c r="D5" s="261"/>
      <c r="E5" s="261"/>
      <c r="F5" s="261"/>
      <c r="G5" s="35" t="s">
        <v>9</v>
      </c>
      <c r="H5" s="36" t="s">
        <v>10</v>
      </c>
      <c r="I5" s="21">
        <v>2475.8000000000002</v>
      </c>
      <c r="J5" s="21">
        <v>701.5</v>
      </c>
      <c r="K5" s="21">
        <v>6190.7</v>
      </c>
      <c r="L5" s="21">
        <v>1659.7</v>
      </c>
      <c r="M5" s="21">
        <v>470.3</v>
      </c>
      <c r="N5" s="21">
        <v>4150</v>
      </c>
      <c r="O5" s="21">
        <v>0.64</v>
      </c>
      <c r="P5" s="10" t="s">
        <v>124</v>
      </c>
      <c r="Q5" s="32"/>
      <c r="R5" s="32"/>
      <c r="S5" s="32"/>
      <c r="T5" s="32"/>
      <c r="U5" s="32"/>
      <c r="V5" s="32"/>
      <c r="W5" s="32"/>
      <c r="X5" s="32"/>
      <c r="Y5" s="32"/>
      <c r="Z5" s="32"/>
    </row>
    <row r="6" spans="3:26" ht="38.25" x14ac:dyDescent="0.2">
      <c r="C6" s="261"/>
      <c r="D6" s="261"/>
      <c r="E6" s="261"/>
      <c r="F6" s="261"/>
      <c r="G6" s="33" t="s">
        <v>21</v>
      </c>
      <c r="H6" s="37" t="s">
        <v>119</v>
      </c>
      <c r="I6" s="72">
        <v>4577.8</v>
      </c>
      <c r="J6" s="72">
        <v>1134.4000000000001</v>
      </c>
      <c r="K6" s="72">
        <v>12688.9</v>
      </c>
      <c r="L6" s="72">
        <v>2911.5</v>
      </c>
      <c r="M6" s="72">
        <v>721.5</v>
      </c>
      <c r="N6" s="72">
        <v>8070.1</v>
      </c>
      <c r="O6" s="21">
        <v>0.64</v>
      </c>
      <c r="P6" s="10" t="s">
        <v>124</v>
      </c>
      <c r="Q6" s="32"/>
      <c r="R6" s="32"/>
      <c r="S6" s="32"/>
      <c r="T6" s="32"/>
      <c r="U6" s="32"/>
      <c r="V6" s="32"/>
      <c r="W6" s="32"/>
      <c r="X6" s="32"/>
      <c r="Y6" s="32"/>
      <c r="Z6" s="32"/>
    </row>
    <row r="7" spans="3:26" x14ac:dyDescent="0.2">
      <c r="C7" s="261"/>
      <c r="D7" s="261"/>
      <c r="E7" s="261"/>
      <c r="F7" s="261"/>
      <c r="G7" s="33" t="s">
        <v>23</v>
      </c>
      <c r="H7" s="18" t="s">
        <v>24</v>
      </c>
      <c r="I7" s="21">
        <v>1573.7</v>
      </c>
      <c r="J7" s="71">
        <v>546.9</v>
      </c>
      <c r="K7" s="21">
        <v>4292.3</v>
      </c>
      <c r="L7" s="21">
        <v>928.5</v>
      </c>
      <c r="M7" s="71">
        <v>322.7</v>
      </c>
      <c r="N7" s="21">
        <v>2532.5</v>
      </c>
      <c r="O7" s="21">
        <v>0.72</v>
      </c>
      <c r="P7" s="10" t="s">
        <v>125</v>
      </c>
      <c r="R7" s="32"/>
      <c r="S7" s="32"/>
      <c r="T7" s="32"/>
      <c r="U7" s="32"/>
      <c r="V7" s="32"/>
      <c r="W7" s="32"/>
      <c r="X7" s="32"/>
      <c r="Y7" s="32"/>
      <c r="Z7" s="32"/>
    </row>
    <row r="8" spans="3:26" x14ac:dyDescent="0.2">
      <c r="C8" s="261"/>
      <c r="D8" s="261"/>
      <c r="E8" s="261"/>
      <c r="F8" s="261"/>
      <c r="G8" s="31">
        <v>1601</v>
      </c>
      <c r="H8" s="34" t="s">
        <v>26</v>
      </c>
      <c r="I8" s="71">
        <v>662.5</v>
      </c>
      <c r="J8" s="71">
        <v>178.6</v>
      </c>
      <c r="K8" s="71">
        <v>1910.6</v>
      </c>
      <c r="L8" s="71">
        <v>444.4</v>
      </c>
      <c r="M8" s="71">
        <v>119.8</v>
      </c>
      <c r="N8" s="71">
        <v>1281.5999999999999</v>
      </c>
      <c r="O8" s="21">
        <v>0.61</v>
      </c>
      <c r="P8" s="10" t="s">
        <v>124</v>
      </c>
      <c r="R8" s="32"/>
      <c r="S8" s="32"/>
      <c r="T8" s="32"/>
      <c r="U8" s="32"/>
      <c r="V8" s="32"/>
      <c r="W8" s="32"/>
      <c r="X8" s="32"/>
      <c r="Y8" s="32"/>
      <c r="Z8" s="32"/>
    </row>
    <row r="9" spans="3:26" ht="25.5" x14ac:dyDescent="0.2">
      <c r="C9" s="257" t="s">
        <v>32</v>
      </c>
      <c r="D9" s="258" t="s">
        <v>33</v>
      </c>
      <c r="E9" s="2">
        <v>23</v>
      </c>
      <c r="F9" s="8" t="s">
        <v>34</v>
      </c>
      <c r="G9" s="38">
        <v>2319</v>
      </c>
      <c r="H9" s="37" t="s">
        <v>51</v>
      </c>
      <c r="I9" s="72">
        <v>9621</v>
      </c>
      <c r="J9" s="72">
        <v>3902.9</v>
      </c>
      <c r="K9" s="72">
        <v>20766.099999999999</v>
      </c>
      <c r="L9" s="72">
        <v>5212.5</v>
      </c>
      <c r="M9" s="72">
        <v>2114.5</v>
      </c>
      <c r="N9" s="72">
        <v>11250.7</v>
      </c>
      <c r="O9" s="21">
        <v>0.74</v>
      </c>
      <c r="P9" s="10" t="s">
        <v>125</v>
      </c>
      <c r="Q9" s="32"/>
      <c r="R9" s="32"/>
      <c r="S9" s="32"/>
      <c r="T9" s="32"/>
      <c r="U9" s="32"/>
      <c r="V9" s="32"/>
      <c r="W9" s="32"/>
      <c r="X9" s="32"/>
      <c r="Y9" s="32"/>
      <c r="Z9" s="32"/>
    </row>
    <row r="10" spans="3:26" x14ac:dyDescent="0.2">
      <c r="C10" s="257"/>
      <c r="D10" s="259"/>
      <c r="E10" s="10">
        <v>24</v>
      </c>
      <c r="F10" s="10" t="s">
        <v>52</v>
      </c>
      <c r="G10" s="31">
        <v>2403</v>
      </c>
      <c r="H10" s="19" t="s">
        <v>120</v>
      </c>
      <c r="I10" s="21">
        <v>3649.9</v>
      </c>
      <c r="J10" s="21">
        <v>1109.5</v>
      </c>
      <c r="K10" s="21">
        <v>9926.6</v>
      </c>
      <c r="L10" s="21">
        <v>2323.1999999999998</v>
      </c>
      <c r="M10" s="21">
        <v>706.2</v>
      </c>
      <c r="N10" s="21">
        <v>6318.4</v>
      </c>
      <c r="O10" s="21">
        <v>0.74</v>
      </c>
      <c r="P10" s="10" t="s">
        <v>125</v>
      </c>
      <c r="Q10" s="32"/>
      <c r="R10" s="32"/>
      <c r="S10" s="32"/>
      <c r="T10" s="32"/>
      <c r="U10" s="32"/>
      <c r="V10" s="32"/>
      <c r="W10" s="32"/>
      <c r="X10" s="32"/>
      <c r="Y10" s="32"/>
      <c r="Z10" s="32"/>
    </row>
    <row r="11" spans="3:26" x14ac:dyDescent="0.2">
      <c r="C11" s="10">
        <v>3</v>
      </c>
      <c r="D11" s="10" t="s">
        <v>206</v>
      </c>
      <c r="E11" s="10">
        <v>37</v>
      </c>
      <c r="F11" s="10" t="s">
        <v>55</v>
      </c>
      <c r="G11" s="31">
        <v>3701</v>
      </c>
      <c r="H11" s="19" t="s">
        <v>56</v>
      </c>
      <c r="I11" s="71">
        <v>1430.6</v>
      </c>
      <c r="J11" s="21">
        <v>611.9</v>
      </c>
      <c r="K11" s="71">
        <v>3255.2</v>
      </c>
      <c r="L11" s="71">
        <v>961</v>
      </c>
      <c r="M11" s="21">
        <v>411</v>
      </c>
      <c r="N11" s="71">
        <v>2186.6999999999998</v>
      </c>
      <c r="O11" s="21">
        <v>0.71</v>
      </c>
      <c r="P11" s="10" t="s">
        <v>125</v>
      </c>
      <c r="Q11" s="32"/>
      <c r="R11" s="32"/>
      <c r="S11" s="32"/>
      <c r="T11" s="32"/>
      <c r="U11" s="32"/>
      <c r="V11" s="32"/>
      <c r="W11" s="32"/>
      <c r="X11" s="32"/>
      <c r="Y11" s="32"/>
      <c r="Z11" s="32"/>
    </row>
    <row r="12" spans="3:26" ht="13.5" thickBot="1" x14ac:dyDescent="0.25">
      <c r="G12" s="32"/>
      <c r="H12" s="32"/>
      <c r="I12" s="32"/>
      <c r="J12" s="32"/>
      <c r="K12" s="32"/>
      <c r="L12" s="32"/>
      <c r="M12" s="32"/>
      <c r="N12" s="32"/>
      <c r="O12" s="57"/>
      <c r="P12" s="32"/>
      <c r="Q12" s="32"/>
      <c r="R12" s="32"/>
      <c r="S12" s="32"/>
      <c r="T12" s="32"/>
      <c r="U12" s="32"/>
      <c r="V12" s="32"/>
      <c r="W12" s="32"/>
      <c r="X12" s="32"/>
      <c r="Y12" s="32"/>
      <c r="Z12" s="32"/>
    </row>
    <row r="13" spans="3:26" ht="15" customHeight="1" thickBot="1" x14ac:dyDescent="0.25">
      <c r="G13" s="32"/>
      <c r="H13" s="32"/>
      <c r="I13" s="253" t="s">
        <v>179</v>
      </c>
      <c r="J13" s="254"/>
      <c r="K13" s="254"/>
      <c r="L13" s="255"/>
      <c r="M13" s="247" t="s">
        <v>180</v>
      </c>
      <c r="N13" s="248"/>
      <c r="O13" s="248"/>
      <c r="P13" s="249"/>
      <c r="Q13" s="32"/>
      <c r="R13" s="32"/>
      <c r="S13" s="32"/>
      <c r="T13" s="32"/>
      <c r="U13" s="32"/>
      <c r="V13" s="32"/>
      <c r="W13" s="32"/>
      <c r="X13" s="32"/>
      <c r="Y13" s="32"/>
      <c r="Z13" s="32"/>
    </row>
    <row r="14" spans="3:26" ht="127.5" x14ac:dyDescent="0.2">
      <c r="G14" s="32"/>
      <c r="H14" s="93" t="s">
        <v>2</v>
      </c>
      <c r="I14" s="100" t="s">
        <v>211</v>
      </c>
      <c r="J14" s="80" t="s">
        <v>200</v>
      </c>
      <c r="K14" s="81" t="s">
        <v>210</v>
      </c>
      <c r="L14" s="101" t="s">
        <v>202</v>
      </c>
      <c r="M14" s="100" t="s">
        <v>211</v>
      </c>
      <c r="N14" s="80" t="s">
        <v>200</v>
      </c>
      <c r="O14" s="81" t="s">
        <v>210</v>
      </c>
      <c r="P14" s="128" t="s">
        <v>202</v>
      </c>
      <c r="Q14" s="132" t="s">
        <v>208</v>
      </c>
      <c r="R14" s="133" t="s">
        <v>207</v>
      </c>
      <c r="S14" s="32"/>
      <c r="T14" s="32"/>
      <c r="U14" s="32"/>
      <c r="V14" s="32"/>
      <c r="W14" s="32"/>
      <c r="X14" s="32"/>
      <c r="Y14" s="32"/>
      <c r="Z14" s="32"/>
    </row>
    <row r="15" spans="3:26" x14ac:dyDescent="0.2">
      <c r="F15" s="75"/>
      <c r="G15" s="32"/>
      <c r="H15" s="94" t="s">
        <v>6</v>
      </c>
      <c r="I15" s="102">
        <f t="shared" ref="I15:I22" si="0">I4-J4</f>
        <v>1300.3</v>
      </c>
      <c r="J15" s="82">
        <f t="shared" ref="J15:J22" si="1">I15*100/I4</f>
        <v>68.157039521962474</v>
      </c>
      <c r="K15" s="83">
        <f t="shared" ref="K15:K22" si="2">K4-I4</f>
        <v>3380.7</v>
      </c>
      <c r="L15" s="103">
        <f t="shared" ref="L15:L22" si="3">K15*100/K4</f>
        <v>63.925498723645646</v>
      </c>
      <c r="M15" s="102">
        <f t="shared" ref="M15:M22" si="4">L4-M4</f>
        <v>797.6</v>
      </c>
      <c r="N15" s="84">
        <f t="shared" ref="N15:N22" si="5">M15*100/L4</f>
        <v>68.159289010425567</v>
      </c>
      <c r="O15" s="85">
        <f t="shared" ref="O15:O22" si="6">N4-L4</f>
        <v>2070.5</v>
      </c>
      <c r="P15" s="136">
        <f t="shared" ref="P15:P22" si="7">O15*100/N4</f>
        <v>63.890517480791189</v>
      </c>
      <c r="Q15" s="140">
        <f>I4-L4</f>
        <v>737.59999999999991</v>
      </c>
      <c r="R15" s="126">
        <f>L4*100/I4</f>
        <v>61.33766642205682</v>
      </c>
      <c r="S15" s="32"/>
      <c r="T15" s="32"/>
      <c r="U15" s="32"/>
      <c r="V15" s="32"/>
      <c r="W15" s="32"/>
      <c r="X15" s="32"/>
      <c r="Y15" s="32"/>
      <c r="Z15" s="32"/>
    </row>
    <row r="16" spans="3:26" x14ac:dyDescent="0.2">
      <c r="F16" s="86"/>
      <c r="G16" s="32"/>
      <c r="H16" s="95" t="s">
        <v>10</v>
      </c>
      <c r="I16" s="102">
        <f t="shared" si="0"/>
        <v>1774.3000000000002</v>
      </c>
      <c r="J16" s="82">
        <f t="shared" si="1"/>
        <v>71.66572421035626</v>
      </c>
      <c r="K16" s="83">
        <f t="shared" si="2"/>
        <v>3714.8999999999996</v>
      </c>
      <c r="L16" s="103">
        <f t="shared" si="3"/>
        <v>60.007753565832616</v>
      </c>
      <c r="M16" s="102">
        <f t="shared" si="4"/>
        <v>1189.4000000000001</v>
      </c>
      <c r="N16" s="84">
        <f t="shared" si="5"/>
        <v>71.663553654274878</v>
      </c>
      <c r="O16" s="85">
        <f t="shared" si="6"/>
        <v>2490.3000000000002</v>
      </c>
      <c r="P16" s="136">
        <f t="shared" si="7"/>
        <v>60.007228915662658</v>
      </c>
      <c r="Q16" s="140">
        <f t="shared" ref="Q16:Q22" si="8">I5-L5</f>
        <v>816.10000000000014</v>
      </c>
      <c r="R16" s="126">
        <f t="shared" ref="R16:R22" si="9">L5*100/I5</f>
        <v>67.036917360045237</v>
      </c>
      <c r="S16" s="32"/>
      <c r="T16" s="32"/>
      <c r="U16" s="32"/>
      <c r="V16" s="32"/>
      <c r="W16" s="32"/>
      <c r="X16" s="32"/>
      <c r="Y16" s="32"/>
      <c r="Z16" s="32"/>
    </row>
    <row r="17" spans="7:26" ht="38.25" x14ac:dyDescent="0.2">
      <c r="G17" s="32"/>
      <c r="H17" s="96" t="s">
        <v>119</v>
      </c>
      <c r="I17" s="102">
        <f t="shared" si="0"/>
        <v>3443.4</v>
      </c>
      <c r="J17" s="92">
        <f t="shared" si="1"/>
        <v>75.219537769234122</v>
      </c>
      <c r="K17" s="83">
        <f t="shared" si="2"/>
        <v>8111.0999999999995</v>
      </c>
      <c r="L17" s="103">
        <f t="shared" si="3"/>
        <v>63.922798666551081</v>
      </c>
      <c r="M17" s="102">
        <f t="shared" si="4"/>
        <v>2190</v>
      </c>
      <c r="N17" s="109">
        <f t="shared" si="5"/>
        <v>75.218959299330237</v>
      </c>
      <c r="O17" s="85">
        <f t="shared" si="6"/>
        <v>5158.6000000000004</v>
      </c>
      <c r="P17" s="136">
        <f t="shared" si="7"/>
        <v>63.922380143988306</v>
      </c>
      <c r="Q17" s="140">
        <f t="shared" si="8"/>
        <v>1666.3000000000002</v>
      </c>
      <c r="R17" s="126">
        <f t="shared" si="9"/>
        <v>63.600419415439731</v>
      </c>
      <c r="S17" s="32"/>
      <c r="T17" s="32"/>
      <c r="U17" s="32"/>
      <c r="V17" s="32"/>
      <c r="W17" s="32"/>
      <c r="X17" s="32"/>
      <c r="Y17" s="32"/>
      <c r="Z17" s="32"/>
    </row>
    <row r="18" spans="7:26" x14ac:dyDescent="0.2">
      <c r="G18" s="32"/>
      <c r="H18" s="97" t="s">
        <v>24</v>
      </c>
      <c r="I18" s="102">
        <f t="shared" si="0"/>
        <v>1026.8000000000002</v>
      </c>
      <c r="J18" s="82">
        <f t="shared" si="1"/>
        <v>65.247505877867454</v>
      </c>
      <c r="K18" s="83">
        <f t="shared" si="2"/>
        <v>2718.6000000000004</v>
      </c>
      <c r="L18" s="103">
        <f t="shared" si="3"/>
        <v>63.336672646366758</v>
      </c>
      <c r="M18" s="102">
        <f t="shared" si="4"/>
        <v>605.79999999999995</v>
      </c>
      <c r="N18" s="84">
        <f t="shared" si="5"/>
        <v>65.24501884760366</v>
      </c>
      <c r="O18" s="85">
        <f t="shared" si="6"/>
        <v>1604</v>
      </c>
      <c r="P18" s="136">
        <f t="shared" si="7"/>
        <v>63.336623889437313</v>
      </c>
      <c r="Q18" s="140">
        <f t="shared" si="8"/>
        <v>645.20000000000005</v>
      </c>
      <c r="R18" s="126">
        <f t="shared" si="9"/>
        <v>59.001080256719831</v>
      </c>
      <c r="S18" s="32"/>
      <c r="T18" s="32"/>
      <c r="U18" s="32"/>
      <c r="V18" s="32"/>
      <c r="W18" s="32"/>
      <c r="X18" s="32"/>
      <c r="Y18" s="32"/>
      <c r="Z18" s="32"/>
    </row>
    <row r="19" spans="7:26" x14ac:dyDescent="0.2">
      <c r="G19" s="32"/>
      <c r="H19" s="98" t="s">
        <v>26</v>
      </c>
      <c r="I19" s="102">
        <f t="shared" si="0"/>
        <v>483.9</v>
      </c>
      <c r="J19" s="82">
        <f t="shared" si="1"/>
        <v>73.041509433962261</v>
      </c>
      <c r="K19" s="83">
        <f t="shared" si="2"/>
        <v>1248.0999999999999</v>
      </c>
      <c r="L19" s="104">
        <f t="shared" si="3"/>
        <v>65.325028786768556</v>
      </c>
      <c r="M19" s="102">
        <f t="shared" si="4"/>
        <v>324.59999999999997</v>
      </c>
      <c r="N19" s="84">
        <f t="shared" si="5"/>
        <v>73.042304230423042</v>
      </c>
      <c r="O19" s="85">
        <f t="shared" si="6"/>
        <v>837.19999999999993</v>
      </c>
      <c r="P19" s="137">
        <f t="shared" si="7"/>
        <v>65.324594257178532</v>
      </c>
      <c r="Q19" s="140">
        <f t="shared" si="8"/>
        <v>218.10000000000002</v>
      </c>
      <c r="R19" s="143">
        <f t="shared" si="9"/>
        <v>67.079245283018864</v>
      </c>
      <c r="S19" s="32"/>
      <c r="T19" s="32"/>
      <c r="U19" s="32"/>
      <c r="V19" s="32"/>
      <c r="W19" s="32"/>
      <c r="X19" s="32"/>
      <c r="Y19" s="32"/>
      <c r="Z19" s="32"/>
    </row>
    <row r="20" spans="7:26" ht="25.5" x14ac:dyDescent="0.2">
      <c r="G20" s="32"/>
      <c r="H20" s="96" t="s">
        <v>51</v>
      </c>
      <c r="I20" s="102">
        <f t="shared" si="0"/>
        <v>5718.1</v>
      </c>
      <c r="J20" s="82">
        <f t="shared" si="1"/>
        <v>59.433530818002289</v>
      </c>
      <c r="K20" s="83">
        <f t="shared" si="2"/>
        <v>11145.099999999999</v>
      </c>
      <c r="L20" s="167">
        <f t="shared" si="3"/>
        <v>53.669682800333227</v>
      </c>
      <c r="M20" s="102">
        <f t="shared" si="4"/>
        <v>3098</v>
      </c>
      <c r="N20" s="84">
        <f t="shared" si="5"/>
        <v>59.434052757793765</v>
      </c>
      <c r="O20" s="85">
        <f t="shared" si="6"/>
        <v>6038.2000000000007</v>
      </c>
      <c r="P20" s="138">
        <f t="shared" si="7"/>
        <v>53.669549450256433</v>
      </c>
      <c r="Q20" s="140">
        <f t="shared" si="8"/>
        <v>4408.5</v>
      </c>
      <c r="R20" s="144">
        <f t="shared" si="9"/>
        <v>54.178359837854693</v>
      </c>
      <c r="S20" s="32"/>
      <c r="T20" s="32"/>
      <c r="U20" s="32"/>
      <c r="V20" s="32"/>
      <c r="W20" s="32"/>
      <c r="X20" s="32"/>
      <c r="Y20" s="32"/>
      <c r="Z20" s="32"/>
    </row>
    <row r="21" spans="7:26" x14ac:dyDescent="0.2">
      <c r="G21" s="32"/>
      <c r="H21" s="99" t="s">
        <v>120</v>
      </c>
      <c r="I21" s="102">
        <f t="shared" si="0"/>
        <v>2540.4</v>
      </c>
      <c r="J21" s="82">
        <f t="shared" si="1"/>
        <v>69.601906901558948</v>
      </c>
      <c r="K21" s="83">
        <f t="shared" si="2"/>
        <v>6276.7000000000007</v>
      </c>
      <c r="L21" s="103">
        <f t="shared" si="3"/>
        <v>63.231116394334421</v>
      </c>
      <c r="M21" s="102">
        <f t="shared" si="4"/>
        <v>1616.9999999999998</v>
      </c>
      <c r="N21" s="84">
        <f t="shared" si="5"/>
        <v>69.60227272727272</v>
      </c>
      <c r="O21" s="85">
        <f t="shared" si="6"/>
        <v>3995.2</v>
      </c>
      <c r="P21" s="136">
        <f t="shared" si="7"/>
        <v>63.231197771587745</v>
      </c>
      <c r="Q21" s="140">
        <f t="shared" si="8"/>
        <v>1326.7000000000003</v>
      </c>
      <c r="R21" s="126">
        <f t="shared" si="9"/>
        <v>63.651058933121448</v>
      </c>
      <c r="S21" s="32"/>
      <c r="T21" s="32"/>
      <c r="U21" s="32"/>
      <c r="V21" s="32"/>
      <c r="W21" s="32"/>
      <c r="X21" s="32"/>
      <c r="Y21" s="32"/>
      <c r="Z21" s="32"/>
    </row>
    <row r="22" spans="7:26" ht="13.5" thickBot="1" x14ac:dyDescent="0.25">
      <c r="G22" s="32"/>
      <c r="H22" s="99" t="s">
        <v>56</v>
      </c>
      <c r="I22" s="105">
        <f t="shared" si="0"/>
        <v>818.69999999999993</v>
      </c>
      <c r="J22" s="166">
        <f t="shared" si="1"/>
        <v>57.227736614008116</v>
      </c>
      <c r="K22" s="106">
        <f t="shared" si="2"/>
        <v>1824.6</v>
      </c>
      <c r="L22" s="107">
        <f t="shared" si="3"/>
        <v>56.051855492750065</v>
      </c>
      <c r="M22" s="105">
        <f t="shared" si="4"/>
        <v>550</v>
      </c>
      <c r="N22" s="110">
        <f t="shared" si="5"/>
        <v>57.232049947970864</v>
      </c>
      <c r="O22" s="108">
        <f t="shared" si="6"/>
        <v>1225.6999999999998</v>
      </c>
      <c r="P22" s="139">
        <f t="shared" si="7"/>
        <v>56.05249919970732</v>
      </c>
      <c r="Q22" s="141">
        <f t="shared" si="8"/>
        <v>469.59999999999991</v>
      </c>
      <c r="R22" s="142">
        <f t="shared" si="9"/>
        <v>67.174612050887745</v>
      </c>
      <c r="S22" s="32"/>
      <c r="T22" s="32"/>
      <c r="U22" s="32"/>
      <c r="V22" s="32"/>
      <c r="W22" s="32"/>
      <c r="X22" s="32"/>
      <c r="Y22" s="32"/>
      <c r="Z22" s="32"/>
    </row>
    <row r="23" spans="7:26" x14ac:dyDescent="0.2">
      <c r="G23" s="32"/>
      <c r="H23" s="32"/>
      <c r="I23" s="73"/>
      <c r="J23" s="87"/>
      <c r="K23" s="88"/>
      <c r="L23" s="88"/>
      <c r="M23" s="73"/>
      <c r="N23" s="89"/>
      <c r="O23" s="90"/>
      <c r="P23" s="89"/>
      <c r="Q23" s="32"/>
      <c r="R23" s="32"/>
      <c r="S23" s="32"/>
      <c r="T23" s="32"/>
      <c r="U23" s="32"/>
      <c r="V23" s="32"/>
      <c r="W23" s="32"/>
      <c r="X23" s="32"/>
      <c r="Y23" s="32"/>
      <c r="Z23" s="32"/>
    </row>
    <row r="24" spans="7:26" x14ac:dyDescent="0.2">
      <c r="G24" s="32"/>
      <c r="H24" s="32"/>
      <c r="I24" s="256" t="s">
        <v>199</v>
      </c>
      <c r="J24" s="256"/>
      <c r="K24" s="256"/>
      <c r="L24" s="256"/>
      <c r="M24" s="73"/>
      <c r="N24" s="89"/>
      <c r="O24" s="90"/>
      <c r="P24" s="89"/>
      <c r="Q24" s="32"/>
      <c r="R24" s="32"/>
      <c r="S24" s="32"/>
      <c r="T24" s="32"/>
      <c r="U24" s="32"/>
      <c r="V24" s="32"/>
      <c r="W24" s="32"/>
      <c r="X24" s="32"/>
      <c r="Y24" s="32"/>
      <c r="Z24" s="32"/>
    </row>
    <row r="25" spans="7:26" x14ac:dyDescent="0.2">
      <c r="G25" s="32"/>
      <c r="H25" s="32"/>
      <c r="I25" s="33">
        <f>I4*J15%</f>
        <v>1300.3</v>
      </c>
      <c r="J25" s="91">
        <f>I25+J4</f>
        <v>1907.8</v>
      </c>
      <c r="K25" s="83">
        <f>K4*L15%</f>
        <v>3380.7</v>
      </c>
      <c r="L25" s="83">
        <f>K25+I4</f>
        <v>5288.5</v>
      </c>
      <c r="M25" s="73"/>
      <c r="N25" s="89"/>
      <c r="O25" s="90"/>
      <c r="P25" s="89"/>
      <c r="Q25" s="32"/>
      <c r="R25" s="32"/>
      <c r="S25" s="32"/>
      <c r="T25" s="32"/>
      <c r="U25" s="32"/>
      <c r="V25" s="32"/>
      <c r="W25" s="32"/>
      <c r="X25" s="32"/>
      <c r="Y25" s="32"/>
      <c r="Z25" s="32"/>
    </row>
    <row r="26" spans="7:26" x14ac:dyDescent="0.2">
      <c r="G26" s="32"/>
      <c r="H26" s="32"/>
      <c r="I26" s="73"/>
      <c r="J26" s="87"/>
      <c r="K26" s="88"/>
      <c r="L26" s="88"/>
      <c r="M26" s="73"/>
      <c r="N26" s="89"/>
      <c r="O26" s="90"/>
      <c r="P26" s="89"/>
      <c r="Q26" s="32"/>
      <c r="R26" s="32"/>
      <c r="S26" s="32"/>
      <c r="T26" s="32"/>
      <c r="U26" s="32"/>
      <c r="V26" s="32"/>
      <c r="W26" s="32"/>
      <c r="X26" s="32"/>
      <c r="Y26" s="32"/>
      <c r="Z26" s="32"/>
    </row>
    <row r="27" spans="7:26" x14ac:dyDescent="0.2">
      <c r="G27" s="32"/>
      <c r="H27" s="32"/>
      <c r="I27" s="73"/>
      <c r="J27" s="87"/>
      <c r="K27" s="88"/>
      <c r="L27" s="88"/>
      <c r="M27" s="73"/>
      <c r="N27" s="89"/>
      <c r="O27" s="90"/>
      <c r="P27" s="89"/>
      <c r="Q27" s="32"/>
      <c r="R27" s="32"/>
      <c r="S27" s="32"/>
      <c r="T27" s="32"/>
      <c r="U27" s="32"/>
      <c r="V27" s="32"/>
      <c r="W27" s="32"/>
      <c r="X27" s="32"/>
      <c r="Y27" s="32"/>
      <c r="Z27" s="32"/>
    </row>
    <row r="28" spans="7:26" x14ac:dyDescent="0.2">
      <c r="G28" s="32"/>
      <c r="H28" s="32"/>
      <c r="I28" s="73"/>
      <c r="J28" s="87"/>
      <c r="K28" s="88">
        <f>K4</f>
        <v>5288.5</v>
      </c>
      <c r="L28" s="88">
        <v>100</v>
      </c>
      <c r="M28" s="73"/>
      <c r="N28" s="89"/>
      <c r="O28" s="90"/>
      <c r="P28" s="89"/>
      <c r="Q28" s="32"/>
      <c r="R28" s="32"/>
      <c r="S28" s="32"/>
      <c r="T28" s="32"/>
      <c r="U28" s="32"/>
      <c r="V28" s="32"/>
      <c r="W28" s="32"/>
      <c r="X28" s="32"/>
      <c r="Y28" s="32"/>
      <c r="Z28" s="32"/>
    </row>
    <row r="29" spans="7:26" x14ac:dyDescent="0.2">
      <c r="G29" s="32"/>
      <c r="H29" s="32"/>
      <c r="I29" s="73"/>
      <c r="J29" s="87"/>
      <c r="K29" s="88">
        <f>I4</f>
        <v>1907.8</v>
      </c>
      <c r="L29" s="88" t="s">
        <v>201</v>
      </c>
      <c r="M29" s="73"/>
      <c r="N29" s="89"/>
      <c r="O29" s="90"/>
      <c r="P29" s="89"/>
      <c r="Q29" s="32"/>
      <c r="R29" s="32"/>
      <c r="S29" s="32"/>
      <c r="T29" s="32"/>
      <c r="U29" s="32"/>
      <c r="V29" s="32"/>
      <c r="W29" s="32"/>
      <c r="X29" s="32"/>
      <c r="Y29" s="32"/>
      <c r="Z29" s="32"/>
    </row>
    <row r="30" spans="7:26" x14ac:dyDescent="0.2">
      <c r="G30" s="32"/>
      <c r="H30" s="32"/>
      <c r="I30" s="73"/>
      <c r="J30" s="87"/>
      <c r="K30" s="88"/>
      <c r="L30" s="88"/>
      <c r="M30" s="73"/>
      <c r="N30" s="89"/>
      <c r="O30" s="90"/>
      <c r="P30" s="89"/>
      <c r="Q30" s="32"/>
      <c r="R30" s="32"/>
      <c r="S30" s="32"/>
      <c r="T30" s="32"/>
      <c r="U30" s="32"/>
      <c r="V30" s="32"/>
      <c r="W30" s="32"/>
      <c r="X30" s="32"/>
      <c r="Y30" s="32"/>
      <c r="Z30" s="32"/>
    </row>
    <row r="31" spans="7:26" x14ac:dyDescent="0.2">
      <c r="G31" s="32"/>
      <c r="H31" s="32"/>
      <c r="I31" s="73"/>
      <c r="J31" s="87"/>
      <c r="K31" s="88"/>
      <c r="L31" s="88"/>
      <c r="M31" s="73"/>
      <c r="N31" s="89"/>
      <c r="O31" s="90"/>
      <c r="P31" s="89"/>
      <c r="Q31" s="32"/>
      <c r="R31" s="32"/>
      <c r="S31" s="32"/>
      <c r="T31" s="32"/>
      <c r="U31" s="32"/>
      <c r="V31" s="32"/>
      <c r="W31" s="32"/>
      <c r="X31" s="32"/>
      <c r="Y31" s="32"/>
      <c r="Z31" s="32"/>
    </row>
    <row r="32" spans="7:26" x14ac:dyDescent="0.2">
      <c r="G32" s="32"/>
      <c r="H32" s="32"/>
      <c r="I32" s="73"/>
      <c r="J32" s="87"/>
      <c r="K32" s="88"/>
      <c r="L32" s="88"/>
      <c r="M32" s="73"/>
      <c r="N32" s="89"/>
      <c r="O32" s="90"/>
      <c r="P32" s="89"/>
      <c r="Q32" s="32"/>
      <c r="R32" s="32"/>
      <c r="S32" s="32"/>
      <c r="T32" s="32"/>
      <c r="U32" s="32"/>
      <c r="V32" s="32"/>
      <c r="W32" s="32"/>
      <c r="X32" s="32"/>
      <c r="Y32" s="32"/>
      <c r="Z32" s="32"/>
    </row>
    <row r="33" spans="7:26" x14ac:dyDescent="0.2">
      <c r="G33" s="32"/>
      <c r="H33" s="32"/>
      <c r="I33" s="73"/>
      <c r="J33" s="87"/>
      <c r="K33" s="88"/>
      <c r="L33" s="88"/>
      <c r="M33" s="73"/>
      <c r="N33" s="89"/>
      <c r="O33" s="90"/>
      <c r="P33" s="89"/>
      <c r="Q33" s="32"/>
      <c r="R33" s="32"/>
      <c r="S33" s="32"/>
      <c r="T33" s="32"/>
      <c r="U33" s="32"/>
      <c r="V33" s="32"/>
      <c r="W33" s="32"/>
      <c r="X33" s="32"/>
      <c r="Y33" s="32"/>
      <c r="Z33" s="32"/>
    </row>
    <row r="34" spans="7:26" x14ac:dyDescent="0.2">
      <c r="G34" s="32"/>
      <c r="H34" s="32"/>
      <c r="I34" s="73"/>
      <c r="J34" s="87"/>
      <c r="K34" s="88"/>
      <c r="L34" s="88"/>
      <c r="M34" s="73"/>
      <c r="N34" s="89"/>
      <c r="O34" s="90"/>
      <c r="P34" s="89"/>
      <c r="Q34" s="32"/>
      <c r="R34" s="32"/>
      <c r="S34" s="32"/>
      <c r="T34" s="32"/>
      <c r="U34" s="32"/>
      <c r="V34" s="32"/>
      <c r="W34" s="32"/>
      <c r="X34" s="32"/>
      <c r="Y34" s="32"/>
      <c r="Z34" s="32"/>
    </row>
    <row r="35" spans="7:26" x14ac:dyDescent="0.2">
      <c r="I35" s="39"/>
      <c r="J35" s="32"/>
      <c r="K35" s="32"/>
      <c r="L35" s="32"/>
      <c r="M35" s="32"/>
      <c r="N35" s="89"/>
      <c r="O35" s="32"/>
      <c r="P35" s="32"/>
    </row>
    <row r="36" spans="7:26" x14ac:dyDescent="0.2">
      <c r="N36" s="89"/>
    </row>
    <row r="37" spans="7:26" x14ac:dyDescent="0.2">
      <c r="K37" s="75"/>
      <c r="N37" s="89"/>
    </row>
    <row r="38" spans="7:26" ht="15" x14ac:dyDescent="0.2">
      <c r="I38" s="250" t="s">
        <v>195</v>
      </c>
      <c r="J38" s="252" t="s">
        <v>198</v>
      </c>
      <c r="K38" s="252"/>
      <c r="L38" s="252" t="s">
        <v>197</v>
      </c>
      <c r="M38" s="252"/>
    </row>
    <row r="39" spans="7:26" x14ac:dyDescent="0.2">
      <c r="I39" s="251"/>
      <c r="J39" s="13" t="s">
        <v>117</v>
      </c>
      <c r="K39" s="13" t="s">
        <v>194</v>
      </c>
      <c r="L39" s="13" t="s">
        <v>117</v>
      </c>
      <c r="M39" s="13" t="s">
        <v>194</v>
      </c>
    </row>
    <row r="40" spans="7:26" x14ac:dyDescent="0.2">
      <c r="I40" s="5" t="s">
        <v>196</v>
      </c>
      <c r="J40" s="55" t="s">
        <v>63</v>
      </c>
      <c r="K40" s="55" t="s">
        <v>64</v>
      </c>
      <c r="L40" s="55">
        <v>1566</v>
      </c>
      <c r="M40" s="55" t="s">
        <v>62</v>
      </c>
    </row>
    <row r="41" spans="7:26" x14ac:dyDescent="0.2">
      <c r="I41" s="5" t="s">
        <v>193</v>
      </c>
      <c r="J41" s="55">
        <v>1907.8</v>
      </c>
      <c r="K41" s="55">
        <v>607.5</v>
      </c>
      <c r="L41" s="55">
        <v>1170.2</v>
      </c>
      <c r="M41" s="55">
        <v>372.6</v>
      </c>
    </row>
  </sheetData>
  <mergeCells count="18">
    <mergeCell ref="F4:F8"/>
    <mergeCell ref="L2:N2"/>
    <mergeCell ref="O2:P2"/>
    <mergeCell ref="C2:D2"/>
    <mergeCell ref="E2:F2"/>
    <mergeCell ref="G2:H2"/>
    <mergeCell ref="I2:K2"/>
    <mergeCell ref="C9:C10"/>
    <mergeCell ref="D9:D10"/>
    <mergeCell ref="C4:C8"/>
    <mergeCell ref="D4:D8"/>
    <mergeCell ref="E4:E8"/>
    <mergeCell ref="M13:P13"/>
    <mergeCell ref="I38:I39"/>
    <mergeCell ref="J38:K38"/>
    <mergeCell ref="L38:M38"/>
    <mergeCell ref="I13:L13"/>
    <mergeCell ref="I24:L2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3:N24"/>
  <sheetViews>
    <sheetView workbookViewId="0">
      <selection activeCell="L3" sqref="L3"/>
    </sheetView>
  </sheetViews>
  <sheetFormatPr baseColWidth="10" defaultRowHeight="15" x14ac:dyDescent="0.25"/>
  <cols>
    <col min="3" max="3" width="4" bestFit="1" customWidth="1"/>
    <col min="4" max="4" width="16.28515625" bestFit="1" customWidth="1"/>
    <col min="9" max="9" width="14.85546875" customWidth="1"/>
    <col min="12" max="12" width="20" customWidth="1"/>
  </cols>
  <sheetData>
    <row r="3" spans="3:12" x14ac:dyDescent="0.25">
      <c r="I3" s="230" t="s">
        <v>343</v>
      </c>
      <c r="J3" s="294" t="s">
        <v>344</v>
      </c>
      <c r="K3" s="294"/>
      <c r="L3" s="230" t="s">
        <v>347</v>
      </c>
    </row>
    <row r="4" spans="3:12" ht="25.5" customHeight="1" x14ac:dyDescent="0.25">
      <c r="C4" s="252" t="s">
        <v>0</v>
      </c>
      <c r="D4" s="252"/>
      <c r="E4" s="252" t="s">
        <v>1</v>
      </c>
      <c r="F4" s="252"/>
      <c r="G4" s="326" t="s">
        <v>2</v>
      </c>
      <c r="H4" s="326"/>
      <c r="I4" s="266" t="s">
        <v>134</v>
      </c>
      <c r="J4" s="266" t="s">
        <v>132</v>
      </c>
      <c r="K4" s="266"/>
      <c r="L4" s="266" t="s">
        <v>133</v>
      </c>
    </row>
    <row r="5" spans="3:12" ht="25.5" x14ac:dyDescent="0.25">
      <c r="C5" s="47" t="s">
        <v>127</v>
      </c>
      <c r="D5" s="47" t="s">
        <v>128</v>
      </c>
      <c r="E5" s="47" t="s">
        <v>127</v>
      </c>
      <c r="F5" s="47" t="s">
        <v>128</v>
      </c>
      <c r="G5" s="47" t="s">
        <v>127</v>
      </c>
      <c r="H5" s="47" t="s">
        <v>128</v>
      </c>
      <c r="I5" s="325"/>
      <c r="J5" s="48" t="s">
        <v>145</v>
      </c>
      <c r="K5" s="51" t="s">
        <v>139</v>
      </c>
      <c r="L5" s="325"/>
    </row>
    <row r="6" spans="3:12" ht="25.5" x14ac:dyDescent="0.25">
      <c r="C6" s="260">
        <v>1</v>
      </c>
      <c r="D6" s="260" t="s">
        <v>4</v>
      </c>
      <c r="E6" s="260">
        <v>16</v>
      </c>
      <c r="F6" s="260" t="s">
        <v>5</v>
      </c>
      <c r="G6" s="10">
        <v>1605</v>
      </c>
      <c r="H6" s="14" t="s">
        <v>6</v>
      </c>
      <c r="I6" s="49" t="s">
        <v>141</v>
      </c>
      <c r="J6" s="49" t="s">
        <v>124</v>
      </c>
      <c r="K6" s="49" t="s">
        <v>141</v>
      </c>
      <c r="L6" s="49" t="s">
        <v>136</v>
      </c>
    </row>
    <row r="7" spans="3:12" x14ac:dyDescent="0.25">
      <c r="C7" s="261"/>
      <c r="D7" s="261"/>
      <c r="E7" s="261"/>
      <c r="F7" s="261"/>
      <c r="G7" s="35" t="s">
        <v>9</v>
      </c>
      <c r="H7" s="36" t="s">
        <v>10</v>
      </c>
      <c r="I7" s="49" t="s">
        <v>141</v>
      </c>
      <c r="J7" s="49" t="s">
        <v>141</v>
      </c>
      <c r="K7" s="49" t="s">
        <v>143</v>
      </c>
      <c r="L7" s="49" t="s">
        <v>111</v>
      </c>
    </row>
    <row r="8" spans="3:12" ht="63.75" x14ac:dyDescent="0.25">
      <c r="C8" s="261"/>
      <c r="D8" s="261"/>
      <c r="E8" s="261"/>
      <c r="F8" s="261"/>
      <c r="G8" s="33" t="s">
        <v>21</v>
      </c>
      <c r="H8" s="37" t="s">
        <v>119</v>
      </c>
      <c r="I8" s="49" t="s">
        <v>141</v>
      </c>
      <c r="J8" s="49" t="s">
        <v>144</v>
      </c>
      <c r="K8" s="49" t="s">
        <v>144</v>
      </c>
      <c r="L8" s="49" t="s">
        <v>137</v>
      </c>
    </row>
    <row r="9" spans="3:12" x14ac:dyDescent="0.25">
      <c r="C9" s="261"/>
      <c r="D9" s="261"/>
      <c r="E9" s="261"/>
      <c r="F9" s="261"/>
      <c r="G9" s="33" t="s">
        <v>23</v>
      </c>
      <c r="H9" s="18" t="s">
        <v>24</v>
      </c>
      <c r="I9" s="49" t="s">
        <v>141</v>
      </c>
      <c r="J9" s="49" t="s">
        <v>124</v>
      </c>
      <c r="K9" s="49" t="s">
        <v>124</v>
      </c>
      <c r="L9" s="49" t="s">
        <v>137</v>
      </c>
    </row>
    <row r="10" spans="3:12" ht="25.5" x14ac:dyDescent="0.25">
      <c r="C10" s="261"/>
      <c r="D10" s="261"/>
      <c r="E10" s="261"/>
      <c r="F10" s="261"/>
      <c r="G10" s="31">
        <v>1601</v>
      </c>
      <c r="H10" s="34" t="s">
        <v>26</v>
      </c>
      <c r="I10" s="49" t="s">
        <v>141</v>
      </c>
      <c r="J10" s="49" t="s">
        <v>141</v>
      </c>
      <c r="K10" s="49" t="s">
        <v>143</v>
      </c>
      <c r="L10" s="49" t="s">
        <v>111</v>
      </c>
    </row>
    <row r="11" spans="3:12" ht="51" x14ac:dyDescent="0.25">
      <c r="C11" s="257" t="s">
        <v>32</v>
      </c>
      <c r="D11" s="258" t="s">
        <v>33</v>
      </c>
      <c r="E11" s="2">
        <v>23</v>
      </c>
      <c r="F11" s="8" t="s">
        <v>34</v>
      </c>
      <c r="G11" s="38">
        <v>2319</v>
      </c>
      <c r="H11" s="37" t="s">
        <v>51</v>
      </c>
      <c r="I11" s="49" t="s">
        <v>144</v>
      </c>
      <c r="J11" s="49" t="s">
        <v>144</v>
      </c>
      <c r="K11" s="49" t="s">
        <v>141</v>
      </c>
      <c r="L11" s="49" t="s">
        <v>111</v>
      </c>
    </row>
    <row r="12" spans="3:12" x14ac:dyDescent="0.25">
      <c r="C12" s="257"/>
      <c r="D12" s="259"/>
      <c r="E12" s="10">
        <v>24</v>
      </c>
      <c r="F12" s="10" t="s">
        <v>52</v>
      </c>
      <c r="G12" s="31">
        <v>2403</v>
      </c>
      <c r="H12" s="19" t="s">
        <v>120</v>
      </c>
      <c r="I12" s="49" t="s">
        <v>144</v>
      </c>
      <c r="J12" s="49" t="s">
        <v>141</v>
      </c>
      <c r="K12" s="49" t="s">
        <v>143</v>
      </c>
      <c r="L12" s="49" t="s">
        <v>111</v>
      </c>
    </row>
    <row r="13" spans="3:12" x14ac:dyDescent="0.25">
      <c r="C13" s="10">
        <v>3</v>
      </c>
      <c r="D13" s="10" t="s">
        <v>54</v>
      </c>
      <c r="E13" s="10">
        <v>37</v>
      </c>
      <c r="F13" s="10" t="s">
        <v>55</v>
      </c>
      <c r="G13" s="31">
        <v>3701</v>
      </c>
      <c r="H13" s="19" t="s">
        <v>56</v>
      </c>
      <c r="I13" s="49" t="s">
        <v>144</v>
      </c>
      <c r="J13" s="49" t="s">
        <v>144</v>
      </c>
      <c r="K13" s="49" t="s">
        <v>141</v>
      </c>
      <c r="L13" s="49" t="s">
        <v>111</v>
      </c>
    </row>
    <row r="14" spans="3:12" x14ac:dyDescent="0.25">
      <c r="L14" s="49"/>
    </row>
    <row r="19" spans="12:14" ht="60" x14ac:dyDescent="0.25">
      <c r="L19" s="299" t="s">
        <v>319</v>
      </c>
      <c r="M19" s="151" t="s">
        <v>311</v>
      </c>
      <c r="N19" s="151" t="s">
        <v>312</v>
      </c>
    </row>
    <row r="20" spans="12:14" x14ac:dyDescent="0.25">
      <c r="L20" s="300"/>
      <c r="M20" s="301" t="s">
        <v>117</v>
      </c>
      <c r="N20" s="302"/>
    </row>
    <row r="21" spans="12:14" x14ac:dyDescent="0.25">
      <c r="L21" s="31" t="s">
        <v>111</v>
      </c>
      <c r="M21" s="147">
        <v>5</v>
      </c>
      <c r="N21" s="192">
        <f>M21*100/M$24</f>
        <v>62.5</v>
      </c>
    </row>
    <row r="22" spans="12:14" x14ac:dyDescent="0.25">
      <c r="L22" s="31" t="s">
        <v>136</v>
      </c>
      <c r="M22" s="147">
        <v>1</v>
      </c>
      <c r="N22" s="192">
        <f t="shared" ref="N22:N23" si="0">M22*100/M$24</f>
        <v>12.5</v>
      </c>
    </row>
    <row r="23" spans="12:14" x14ac:dyDescent="0.25">
      <c r="L23" s="31" t="s">
        <v>137</v>
      </c>
      <c r="M23" s="147">
        <v>2</v>
      </c>
      <c r="N23" s="192">
        <f t="shared" si="0"/>
        <v>25</v>
      </c>
    </row>
    <row r="24" spans="12:14" x14ac:dyDescent="0.25">
      <c r="M24">
        <f>SUM(M21:M23)</f>
        <v>8</v>
      </c>
      <c r="N24" s="50"/>
    </row>
  </sheetData>
  <mergeCells count="15">
    <mergeCell ref="L19:L20"/>
    <mergeCell ref="M20:N20"/>
    <mergeCell ref="J3:K3"/>
    <mergeCell ref="C11:C12"/>
    <mergeCell ref="D11:D12"/>
    <mergeCell ref="I4:I5"/>
    <mergeCell ref="L4:L5"/>
    <mergeCell ref="J4:K4"/>
    <mergeCell ref="C4:D4"/>
    <mergeCell ref="E4:F4"/>
    <mergeCell ref="G4:H4"/>
    <mergeCell ref="C6:C10"/>
    <mergeCell ref="D6:D10"/>
    <mergeCell ref="E6:E10"/>
    <mergeCell ref="F6:F1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2:N46"/>
  <sheetViews>
    <sheetView workbookViewId="0">
      <selection activeCell="N23" sqref="N23"/>
    </sheetView>
  </sheetViews>
  <sheetFormatPr baseColWidth="10" defaultRowHeight="15" x14ac:dyDescent="0.25"/>
  <cols>
    <col min="3" max="3" width="4" bestFit="1" customWidth="1"/>
    <col min="5" max="5" width="4" bestFit="1" customWidth="1"/>
    <col min="7" max="7" width="5" bestFit="1" customWidth="1"/>
    <col min="9" max="9" width="12.7109375" style="50" bestFit="1" customWidth="1"/>
    <col min="10" max="10" width="17" bestFit="1" customWidth="1"/>
    <col min="11" max="11" width="12.7109375" bestFit="1" customWidth="1"/>
    <col min="12" max="12" width="16.85546875" customWidth="1"/>
  </cols>
  <sheetData>
    <row r="2" spans="3:14" x14ac:dyDescent="0.25">
      <c r="M2" s="230" t="s">
        <v>346</v>
      </c>
    </row>
    <row r="3" spans="3:14" ht="15" customHeight="1" x14ac:dyDescent="0.25">
      <c r="C3" s="266" t="s">
        <v>0</v>
      </c>
      <c r="D3" s="266"/>
      <c r="E3" s="266" t="s">
        <v>1</v>
      </c>
      <c r="F3" s="266"/>
      <c r="G3" s="266" t="s">
        <v>2</v>
      </c>
      <c r="H3" s="266"/>
      <c r="I3" s="266" t="s">
        <v>190</v>
      </c>
      <c r="J3" s="266"/>
      <c r="K3" s="266" t="s">
        <v>191</v>
      </c>
      <c r="L3" s="267"/>
      <c r="M3" s="327" t="s">
        <v>162</v>
      </c>
      <c r="N3" s="266"/>
    </row>
    <row r="4" spans="3:14" x14ac:dyDescent="0.25">
      <c r="C4" s="266"/>
      <c r="D4" s="266"/>
      <c r="E4" s="266"/>
      <c r="F4" s="266"/>
      <c r="G4" s="266"/>
      <c r="H4" s="266"/>
      <c r="I4" s="325"/>
      <c r="J4" s="325"/>
      <c r="K4" s="325"/>
      <c r="L4" s="328"/>
      <c r="M4" s="296"/>
      <c r="N4" s="325"/>
    </row>
    <row r="5" spans="3:14" x14ac:dyDescent="0.25">
      <c r="C5" s="47" t="s">
        <v>127</v>
      </c>
      <c r="D5" s="47" t="s">
        <v>128</v>
      </c>
      <c r="E5" s="47" t="s">
        <v>127</v>
      </c>
      <c r="F5" s="47" t="s">
        <v>128</v>
      </c>
      <c r="G5" s="47" t="s">
        <v>127</v>
      </c>
      <c r="H5" s="47" t="s">
        <v>128</v>
      </c>
      <c r="I5" s="47" t="s">
        <v>127</v>
      </c>
      <c r="J5" s="47" t="s">
        <v>128</v>
      </c>
      <c r="K5" s="47" t="s">
        <v>127</v>
      </c>
      <c r="L5" s="47" t="s">
        <v>128</v>
      </c>
      <c r="M5" s="45" t="s">
        <v>60</v>
      </c>
      <c r="N5" s="46" t="s">
        <v>61</v>
      </c>
    </row>
    <row r="6" spans="3:14" x14ac:dyDescent="0.25">
      <c r="C6" s="260">
        <v>1</v>
      </c>
      <c r="D6" s="260" t="s">
        <v>4</v>
      </c>
      <c r="E6" s="260">
        <v>16</v>
      </c>
      <c r="F6" s="260" t="s">
        <v>5</v>
      </c>
      <c r="G6" s="282">
        <v>1605</v>
      </c>
      <c r="H6" s="284" t="s">
        <v>6</v>
      </c>
      <c r="I6" s="49" t="s">
        <v>77</v>
      </c>
      <c r="J6" s="1" t="s">
        <v>7</v>
      </c>
      <c r="K6" s="1"/>
      <c r="L6" s="1"/>
      <c r="M6" s="27" t="s">
        <v>168</v>
      </c>
      <c r="N6" s="25" t="s">
        <v>112</v>
      </c>
    </row>
    <row r="7" spans="3:14" x14ac:dyDescent="0.25">
      <c r="C7" s="261"/>
      <c r="D7" s="261"/>
      <c r="E7" s="261"/>
      <c r="F7" s="261"/>
      <c r="G7" s="282"/>
      <c r="H7" s="284"/>
      <c r="I7" s="49" t="s">
        <v>78</v>
      </c>
      <c r="J7" s="1" t="s">
        <v>8</v>
      </c>
      <c r="K7" s="1"/>
      <c r="L7" s="1"/>
      <c r="M7" s="7" t="s">
        <v>167</v>
      </c>
      <c r="N7" s="10" t="s">
        <v>111</v>
      </c>
    </row>
    <row r="8" spans="3:14" x14ac:dyDescent="0.25">
      <c r="C8" s="261"/>
      <c r="D8" s="261"/>
      <c r="E8" s="261"/>
      <c r="F8" s="261"/>
      <c r="G8" s="285" t="s">
        <v>9</v>
      </c>
      <c r="H8" s="279" t="s">
        <v>10</v>
      </c>
      <c r="I8" s="7" t="s">
        <v>79</v>
      </c>
      <c r="J8" s="1" t="s">
        <v>11</v>
      </c>
      <c r="K8" s="1"/>
      <c r="L8" s="1"/>
      <c r="M8" s="10" t="s">
        <v>111</v>
      </c>
      <c r="N8" s="25" t="s">
        <v>166</v>
      </c>
    </row>
    <row r="9" spans="3:14" x14ac:dyDescent="0.25">
      <c r="C9" s="261"/>
      <c r="D9" s="261"/>
      <c r="E9" s="261"/>
      <c r="F9" s="261"/>
      <c r="G9" s="286"/>
      <c r="H9" s="280"/>
      <c r="I9" s="7" t="s">
        <v>80</v>
      </c>
      <c r="J9" s="1" t="s">
        <v>12</v>
      </c>
      <c r="K9" s="1"/>
      <c r="L9" s="1"/>
      <c r="M9" s="22" t="s">
        <v>137</v>
      </c>
      <c r="N9" s="25" t="s">
        <v>166</v>
      </c>
    </row>
    <row r="10" spans="3:14" x14ac:dyDescent="0.25">
      <c r="C10" s="261"/>
      <c r="D10" s="261"/>
      <c r="E10" s="261"/>
      <c r="F10" s="261"/>
      <c r="G10" s="286"/>
      <c r="H10" s="280"/>
      <c r="I10" s="7" t="s">
        <v>81</v>
      </c>
      <c r="J10" s="1" t="s">
        <v>13</v>
      </c>
      <c r="K10" s="1"/>
      <c r="L10" s="1"/>
      <c r="M10" s="10" t="s">
        <v>137</v>
      </c>
      <c r="N10" s="25" t="s">
        <v>166</v>
      </c>
    </row>
    <row r="11" spans="3:14" x14ac:dyDescent="0.25">
      <c r="C11" s="261"/>
      <c r="D11" s="261"/>
      <c r="E11" s="261"/>
      <c r="F11" s="261"/>
      <c r="G11" s="286"/>
      <c r="H11" s="280"/>
      <c r="I11" s="7" t="s">
        <v>82</v>
      </c>
      <c r="J11" s="1" t="s">
        <v>14</v>
      </c>
      <c r="K11" s="1"/>
      <c r="L11" s="1"/>
      <c r="M11" s="25" t="s">
        <v>137</v>
      </c>
      <c r="N11" s="25" t="s">
        <v>166</v>
      </c>
    </row>
    <row r="12" spans="3:14" x14ac:dyDescent="0.25">
      <c r="C12" s="261"/>
      <c r="D12" s="261"/>
      <c r="E12" s="261"/>
      <c r="F12" s="261"/>
      <c r="G12" s="286"/>
      <c r="H12" s="280"/>
      <c r="I12" s="7" t="s">
        <v>83</v>
      </c>
      <c r="J12" s="1" t="s">
        <v>15</v>
      </c>
      <c r="K12" s="1"/>
      <c r="L12" s="1"/>
      <c r="M12" s="25" t="s">
        <v>137</v>
      </c>
      <c r="N12" s="25" t="s">
        <v>166</v>
      </c>
    </row>
    <row r="13" spans="3:14" x14ac:dyDescent="0.25">
      <c r="C13" s="261"/>
      <c r="D13" s="261"/>
      <c r="E13" s="261"/>
      <c r="F13" s="261"/>
      <c r="G13" s="286"/>
      <c r="H13" s="280"/>
      <c r="I13" s="7" t="s">
        <v>84</v>
      </c>
      <c r="J13" s="1" t="s">
        <v>16</v>
      </c>
      <c r="K13" s="1"/>
      <c r="L13" s="1"/>
      <c r="M13" s="25" t="s">
        <v>137</v>
      </c>
      <c r="N13" s="25" t="s">
        <v>166</v>
      </c>
    </row>
    <row r="14" spans="3:14" x14ac:dyDescent="0.25">
      <c r="C14" s="261"/>
      <c r="D14" s="261"/>
      <c r="E14" s="261"/>
      <c r="F14" s="261"/>
      <c r="G14" s="286"/>
      <c r="H14" s="280"/>
      <c r="I14" s="7" t="s">
        <v>85</v>
      </c>
      <c r="J14" s="1" t="s">
        <v>17</v>
      </c>
      <c r="K14" s="1"/>
      <c r="L14" s="1"/>
      <c r="M14" s="25" t="s">
        <v>137</v>
      </c>
      <c r="N14" s="25" t="s">
        <v>166</v>
      </c>
    </row>
    <row r="15" spans="3:14" x14ac:dyDescent="0.25">
      <c r="C15" s="261"/>
      <c r="D15" s="261"/>
      <c r="E15" s="261"/>
      <c r="F15" s="261"/>
      <c r="G15" s="286"/>
      <c r="H15" s="280"/>
      <c r="I15" s="7" t="s">
        <v>86</v>
      </c>
      <c r="J15" s="1" t="s">
        <v>18</v>
      </c>
      <c r="K15" s="1"/>
      <c r="L15" s="1"/>
      <c r="M15" s="25" t="s">
        <v>137</v>
      </c>
      <c r="N15" s="25" t="s">
        <v>166</v>
      </c>
    </row>
    <row r="16" spans="3:14" x14ac:dyDescent="0.25">
      <c r="C16" s="261"/>
      <c r="D16" s="261"/>
      <c r="E16" s="261"/>
      <c r="F16" s="261"/>
      <c r="G16" s="286"/>
      <c r="H16" s="280"/>
      <c r="I16" s="7" t="s">
        <v>87</v>
      </c>
      <c r="J16" s="1" t="s">
        <v>19</v>
      </c>
      <c r="K16" s="1"/>
      <c r="L16" s="1"/>
      <c r="M16" s="25" t="s">
        <v>137</v>
      </c>
      <c r="N16" s="25" t="s">
        <v>166</v>
      </c>
    </row>
    <row r="17" spans="3:14" x14ac:dyDescent="0.25">
      <c r="C17" s="261"/>
      <c r="D17" s="261"/>
      <c r="E17" s="261"/>
      <c r="F17" s="261"/>
      <c r="G17" s="287"/>
      <c r="H17" s="281"/>
      <c r="I17" s="7" t="s">
        <v>88</v>
      </c>
      <c r="J17" s="1" t="s">
        <v>20</v>
      </c>
      <c r="K17" s="1"/>
      <c r="L17" s="1"/>
      <c r="M17" s="25" t="s">
        <v>111</v>
      </c>
      <c r="N17" s="25" t="s">
        <v>166</v>
      </c>
    </row>
    <row r="18" spans="3:14" x14ac:dyDescent="0.25">
      <c r="C18" s="261"/>
      <c r="D18" s="261"/>
      <c r="E18" s="261"/>
      <c r="F18" s="261"/>
      <c r="G18" s="7" t="s">
        <v>21</v>
      </c>
      <c r="H18" s="36" t="s">
        <v>119</v>
      </c>
      <c r="I18" s="242"/>
      <c r="J18" s="19" t="s">
        <v>22</v>
      </c>
      <c r="K18" s="19"/>
      <c r="L18" s="19"/>
      <c r="M18" s="70" t="s">
        <v>166</v>
      </c>
      <c r="N18" s="70" t="s">
        <v>166</v>
      </c>
    </row>
    <row r="19" spans="3:14" x14ac:dyDescent="0.25">
      <c r="C19" s="261"/>
      <c r="D19" s="261"/>
      <c r="E19" s="261"/>
      <c r="F19" s="261"/>
      <c r="G19" s="7" t="s">
        <v>23</v>
      </c>
      <c r="H19" s="18" t="s">
        <v>24</v>
      </c>
      <c r="I19" s="33"/>
      <c r="J19" s="225" t="s">
        <v>25</v>
      </c>
      <c r="K19" s="225"/>
      <c r="L19" s="225"/>
      <c r="M19" s="70" t="s">
        <v>166</v>
      </c>
      <c r="N19" s="70" t="s">
        <v>166</v>
      </c>
    </row>
    <row r="20" spans="3:14" x14ac:dyDescent="0.25">
      <c r="C20" s="261"/>
      <c r="D20" s="261"/>
      <c r="E20" s="261"/>
      <c r="F20" s="261"/>
      <c r="G20" s="282">
        <v>1601</v>
      </c>
      <c r="H20" s="283" t="s">
        <v>26</v>
      </c>
      <c r="I20" s="33">
        <v>20</v>
      </c>
      <c r="J20" s="19" t="s">
        <v>27</v>
      </c>
      <c r="K20" s="19"/>
      <c r="L20" s="19"/>
      <c r="M20" s="10" t="s">
        <v>137</v>
      </c>
      <c r="N20" s="10" t="s">
        <v>166</v>
      </c>
    </row>
    <row r="21" spans="3:14" x14ac:dyDescent="0.25">
      <c r="C21" s="261"/>
      <c r="D21" s="261"/>
      <c r="E21" s="261"/>
      <c r="F21" s="261"/>
      <c r="G21" s="282"/>
      <c r="H21" s="283"/>
      <c r="I21" s="33">
        <v>17</v>
      </c>
      <c r="J21" s="19" t="s">
        <v>28</v>
      </c>
      <c r="K21" s="19"/>
      <c r="L21" s="19"/>
      <c r="M21" s="10" t="s">
        <v>167</v>
      </c>
      <c r="N21" s="10" t="s">
        <v>166</v>
      </c>
    </row>
    <row r="22" spans="3:14" x14ac:dyDescent="0.25">
      <c r="C22" s="261"/>
      <c r="D22" s="261"/>
      <c r="E22" s="261"/>
      <c r="F22" s="261"/>
      <c r="G22" s="282"/>
      <c r="H22" s="283"/>
      <c r="I22" s="33">
        <v>21</v>
      </c>
      <c r="J22" s="19" t="s">
        <v>29</v>
      </c>
      <c r="K22" s="19"/>
      <c r="L22" s="19"/>
      <c r="M22" s="10" t="s">
        <v>137</v>
      </c>
      <c r="N22" s="10" t="s">
        <v>166</v>
      </c>
    </row>
    <row r="23" spans="3:14" x14ac:dyDescent="0.25">
      <c r="C23" s="261"/>
      <c r="D23" s="261"/>
      <c r="E23" s="261"/>
      <c r="F23" s="261"/>
      <c r="G23" s="282"/>
      <c r="H23" s="283"/>
      <c r="I23" s="33">
        <v>24</v>
      </c>
      <c r="J23" s="19" t="s">
        <v>30</v>
      </c>
      <c r="K23" s="19"/>
      <c r="L23" s="19"/>
      <c r="M23" s="10" t="s">
        <v>111</v>
      </c>
      <c r="N23" s="10" t="s">
        <v>166</v>
      </c>
    </row>
    <row r="24" spans="3:14" x14ac:dyDescent="0.25">
      <c r="C24" s="278"/>
      <c r="D24" s="278"/>
      <c r="E24" s="278"/>
      <c r="F24" s="278"/>
      <c r="G24" s="282"/>
      <c r="H24" s="283"/>
      <c r="I24" s="33">
        <v>25</v>
      </c>
      <c r="J24" s="19" t="s">
        <v>31</v>
      </c>
      <c r="K24" s="19"/>
      <c r="L24" s="19"/>
      <c r="M24" s="10" t="s">
        <v>111</v>
      </c>
      <c r="N24" s="10" t="s">
        <v>166</v>
      </c>
    </row>
    <row r="25" spans="3:14" x14ac:dyDescent="0.25">
      <c r="C25" s="257" t="s">
        <v>32</v>
      </c>
      <c r="D25" s="258" t="s">
        <v>33</v>
      </c>
      <c r="E25" s="285">
        <v>23</v>
      </c>
      <c r="F25" s="258" t="s">
        <v>34</v>
      </c>
      <c r="G25" s="260">
        <v>2319</v>
      </c>
      <c r="H25" s="306" t="s">
        <v>51</v>
      </c>
      <c r="I25" s="19" t="s">
        <v>185</v>
      </c>
      <c r="J25" s="18" t="s">
        <v>35</v>
      </c>
      <c r="K25" s="33" t="s">
        <v>92</v>
      </c>
      <c r="L25" s="226" t="s">
        <v>36</v>
      </c>
      <c r="M25" s="25" t="s">
        <v>167</v>
      </c>
      <c r="N25" s="24" t="s">
        <v>166</v>
      </c>
    </row>
    <row r="26" spans="3:14" x14ac:dyDescent="0.25">
      <c r="C26" s="257"/>
      <c r="D26" s="288"/>
      <c r="E26" s="286"/>
      <c r="F26" s="288"/>
      <c r="G26" s="261"/>
      <c r="H26" s="307"/>
      <c r="I26" s="19" t="s">
        <v>186</v>
      </c>
      <c r="J26" s="18" t="s">
        <v>37</v>
      </c>
      <c r="K26" s="33" t="s">
        <v>93</v>
      </c>
      <c r="L26" s="226" t="s">
        <v>38</v>
      </c>
      <c r="M26" s="25" t="s">
        <v>111</v>
      </c>
      <c r="N26" s="24" t="s">
        <v>166</v>
      </c>
    </row>
    <row r="27" spans="3:14" x14ac:dyDescent="0.25">
      <c r="C27" s="257"/>
      <c r="D27" s="288"/>
      <c r="E27" s="286"/>
      <c r="F27" s="288"/>
      <c r="G27" s="261"/>
      <c r="H27" s="307"/>
      <c r="I27" s="19" t="s">
        <v>187</v>
      </c>
      <c r="J27" s="289" t="s">
        <v>39</v>
      </c>
      <c r="K27" s="33" t="s">
        <v>94</v>
      </c>
      <c r="L27" s="226" t="s">
        <v>40</v>
      </c>
      <c r="M27" s="25" t="s">
        <v>167</v>
      </c>
      <c r="N27" s="24" t="s">
        <v>166</v>
      </c>
    </row>
    <row r="28" spans="3:14" x14ac:dyDescent="0.25">
      <c r="C28" s="257"/>
      <c r="D28" s="288"/>
      <c r="E28" s="286"/>
      <c r="F28" s="288"/>
      <c r="G28" s="261"/>
      <c r="H28" s="307"/>
      <c r="I28" s="19" t="s">
        <v>187</v>
      </c>
      <c r="J28" s="289"/>
      <c r="K28" s="33" t="s">
        <v>95</v>
      </c>
      <c r="L28" s="226" t="s">
        <v>41</v>
      </c>
      <c r="M28" s="25" t="s">
        <v>167</v>
      </c>
      <c r="N28" s="24" t="s">
        <v>166</v>
      </c>
    </row>
    <row r="29" spans="3:14" x14ac:dyDescent="0.25">
      <c r="C29" s="257"/>
      <c r="D29" s="288"/>
      <c r="E29" s="286"/>
      <c r="F29" s="288"/>
      <c r="G29" s="261"/>
      <c r="H29" s="307"/>
      <c r="I29" s="19" t="s">
        <v>187</v>
      </c>
      <c r="J29" s="289"/>
      <c r="K29" s="33" t="s">
        <v>96</v>
      </c>
      <c r="L29" s="226" t="s">
        <v>42</v>
      </c>
      <c r="M29" s="25" t="s">
        <v>167</v>
      </c>
      <c r="N29" s="24" t="s">
        <v>166</v>
      </c>
    </row>
    <row r="30" spans="3:14" x14ac:dyDescent="0.25">
      <c r="C30" s="257"/>
      <c r="D30" s="288"/>
      <c r="E30" s="286"/>
      <c r="F30" s="288"/>
      <c r="G30" s="261"/>
      <c r="H30" s="307"/>
      <c r="I30" s="19" t="s">
        <v>187</v>
      </c>
      <c r="J30" s="289"/>
      <c r="K30" s="33" t="s">
        <v>97</v>
      </c>
      <c r="L30" s="226" t="s">
        <v>43</v>
      </c>
      <c r="M30" s="25" t="s">
        <v>111</v>
      </c>
      <c r="N30" s="21" t="s">
        <v>166</v>
      </c>
    </row>
    <row r="31" spans="3:14" x14ac:dyDescent="0.25">
      <c r="C31" s="257"/>
      <c r="D31" s="288"/>
      <c r="E31" s="286"/>
      <c r="F31" s="288"/>
      <c r="G31" s="261"/>
      <c r="H31" s="307"/>
      <c r="I31" s="19" t="s">
        <v>181</v>
      </c>
      <c r="J31" s="283" t="s">
        <v>45</v>
      </c>
      <c r="K31" s="33" t="s">
        <v>102</v>
      </c>
      <c r="L31" s="226" t="s">
        <v>46</v>
      </c>
      <c r="M31" s="12" t="s">
        <v>167</v>
      </c>
      <c r="N31" s="23" t="s">
        <v>166</v>
      </c>
    </row>
    <row r="32" spans="3:14" x14ac:dyDescent="0.25">
      <c r="C32" s="257"/>
      <c r="D32" s="288"/>
      <c r="E32" s="286"/>
      <c r="F32" s="288"/>
      <c r="G32" s="261"/>
      <c r="H32" s="307"/>
      <c r="I32" s="19" t="s">
        <v>182</v>
      </c>
      <c r="J32" s="283"/>
      <c r="K32" s="33" t="s">
        <v>103</v>
      </c>
      <c r="L32" s="226" t="s">
        <v>47</v>
      </c>
      <c r="M32" s="12" t="s">
        <v>167</v>
      </c>
      <c r="N32" s="21" t="s">
        <v>166</v>
      </c>
    </row>
    <row r="33" spans="3:14" x14ac:dyDescent="0.25">
      <c r="C33" s="257"/>
      <c r="D33" s="288"/>
      <c r="E33" s="286"/>
      <c r="F33" s="288"/>
      <c r="G33" s="261"/>
      <c r="H33" s="307"/>
      <c r="I33" s="19" t="s">
        <v>183</v>
      </c>
      <c r="J33" s="283"/>
      <c r="K33" s="33" t="s">
        <v>104</v>
      </c>
      <c r="L33" s="226" t="s">
        <v>48</v>
      </c>
      <c r="M33" s="12" t="s">
        <v>167</v>
      </c>
      <c r="N33" s="24" t="s">
        <v>166</v>
      </c>
    </row>
    <row r="34" spans="3:14" ht="25.5" x14ac:dyDescent="0.25">
      <c r="C34" s="257"/>
      <c r="D34" s="288"/>
      <c r="E34" s="286"/>
      <c r="F34" s="288"/>
      <c r="G34" s="261"/>
      <c r="H34" s="307"/>
      <c r="I34" s="19" t="s">
        <v>184</v>
      </c>
      <c r="J34" s="34" t="s">
        <v>49</v>
      </c>
      <c r="K34" s="33" t="s">
        <v>109</v>
      </c>
      <c r="L34" s="234" t="s">
        <v>50</v>
      </c>
      <c r="M34" s="12" t="s">
        <v>167</v>
      </c>
      <c r="N34" s="24" t="s">
        <v>166</v>
      </c>
    </row>
    <row r="35" spans="3:14" ht="15" customHeight="1" x14ac:dyDescent="0.25">
      <c r="C35" s="257"/>
      <c r="D35" s="288"/>
      <c r="E35" s="286"/>
      <c r="F35" s="288"/>
      <c r="G35" s="261"/>
      <c r="H35" s="307"/>
      <c r="I35" s="19" t="s">
        <v>188</v>
      </c>
      <c r="J35" s="189"/>
      <c r="K35" s="33" t="s">
        <v>98</v>
      </c>
      <c r="L35" s="225" t="s">
        <v>115</v>
      </c>
      <c r="M35" s="70" t="s">
        <v>166</v>
      </c>
      <c r="N35" s="70" t="s">
        <v>166</v>
      </c>
    </row>
    <row r="36" spans="3:14" x14ac:dyDescent="0.25">
      <c r="C36" s="257"/>
      <c r="D36" s="288"/>
      <c r="E36" s="286"/>
      <c r="F36" s="288"/>
      <c r="G36" s="261"/>
      <c r="H36" s="307"/>
      <c r="I36" s="19"/>
      <c r="J36" s="226" t="s">
        <v>44</v>
      </c>
      <c r="K36" s="243"/>
      <c r="L36" s="243"/>
      <c r="M36" s="70" t="s">
        <v>166</v>
      </c>
      <c r="N36" s="70" t="s">
        <v>166</v>
      </c>
    </row>
    <row r="37" spans="3:14" x14ac:dyDescent="0.25">
      <c r="C37" s="257"/>
      <c r="D37" s="288"/>
      <c r="E37" s="287"/>
      <c r="F37" s="259"/>
      <c r="G37" s="278"/>
      <c r="H37" s="308"/>
      <c r="I37" s="19" t="s">
        <v>189</v>
      </c>
      <c r="J37" s="189"/>
      <c r="K37" s="33" t="s">
        <v>108</v>
      </c>
      <c r="L37" s="225" t="s">
        <v>107</v>
      </c>
      <c r="M37" s="24" t="s">
        <v>167</v>
      </c>
      <c r="N37" s="24" t="s">
        <v>166</v>
      </c>
    </row>
    <row r="38" spans="3:14" ht="25.5" x14ac:dyDescent="0.25">
      <c r="C38" s="257"/>
      <c r="D38" s="259"/>
      <c r="E38" s="10">
        <v>24</v>
      </c>
      <c r="F38" s="10" t="s">
        <v>52</v>
      </c>
      <c r="G38" s="10">
        <v>2403</v>
      </c>
      <c r="H38" s="34" t="s">
        <v>120</v>
      </c>
      <c r="I38" s="33"/>
      <c r="J38" s="19" t="s">
        <v>53</v>
      </c>
      <c r="K38" s="19"/>
      <c r="L38" s="19"/>
      <c r="M38" s="70" t="s">
        <v>166</v>
      </c>
      <c r="N38" s="70" t="s">
        <v>166</v>
      </c>
    </row>
    <row r="39" spans="3:14" x14ac:dyDescent="0.25">
      <c r="C39" s="282">
        <v>3</v>
      </c>
      <c r="D39" s="260" t="s">
        <v>54</v>
      </c>
      <c r="E39" s="282">
        <v>37</v>
      </c>
      <c r="F39" s="260" t="s">
        <v>55</v>
      </c>
      <c r="G39" s="282">
        <v>3701</v>
      </c>
      <c r="H39" s="289" t="s">
        <v>56</v>
      </c>
      <c r="I39" s="33"/>
      <c r="J39" s="228"/>
      <c r="K39" s="228"/>
      <c r="L39" s="228"/>
      <c r="M39" s="70" t="s">
        <v>166</v>
      </c>
      <c r="N39" s="70" t="s">
        <v>166</v>
      </c>
    </row>
    <row r="40" spans="3:14" x14ac:dyDescent="0.25">
      <c r="C40" s="282"/>
      <c r="D40" s="278"/>
      <c r="E40" s="282"/>
      <c r="F40" s="278"/>
      <c r="G40" s="282"/>
      <c r="H40" s="289"/>
      <c r="I40" s="33"/>
      <c r="J40" s="228" t="s">
        <v>57</v>
      </c>
      <c r="K40" s="228"/>
      <c r="L40" s="228"/>
      <c r="M40" s="70" t="s">
        <v>166</v>
      </c>
      <c r="N40" s="70" t="s">
        <v>166</v>
      </c>
    </row>
    <row r="42" spans="3:14" x14ac:dyDescent="0.25">
      <c r="D42" t="s">
        <v>178</v>
      </c>
    </row>
    <row r="43" spans="3:14" x14ac:dyDescent="0.25">
      <c r="D43" t="s">
        <v>169</v>
      </c>
    </row>
    <row r="44" spans="3:14" x14ac:dyDescent="0.25">
      <c r="D44" t="s">
        <v>170</v>
      </c>
    </row>
    <row r="45" spans="3:14" x14ac:dyDescent="0.25">
      <c r="D45" t="s">
        <v>173</v>
      </c>
    </row>
    <row r="46" spans="3:14" x14ac:dyDescent="0.25">
      <c r="D46" t="s">
        <v>176</v>
      </c>
    </row>
  </sheetData>
  <mergeCells count="30">
    <mergeCell ref="C3:D4"/>
    <mergeCell ref="E3:F4"/>
    <mergeCell ref="G3:H4"/>
    <mergeCell ref="I3:J4"/>
    <mergeCell ref="M3:N4"/>
    <mergeCell ref="K3:L4"/>
    <mergeCell ref="J27:J30"/>
    <mergeCell ref="J31:J33"/>
    <mergeCell ref="H25:H37"/>
    <mergeCell ref="C6:C24"/>
    <mergeCell ref="D6:D24"/>
    <mergeCell ref="E6:E24"/>
    <mergeCell ref="F6:F24"/>
    <mergeCell ref="G6:G7"/>
    <mergeCell ref="H6:H7"/>
    <mergeCell ref="G8:G17"/>
    <mergeCell ref="H8:H17"/>
    <mergeCell ref="G20:G24"/>
    <mergeCell ref="H20:H24"/>
    <mergeCell ref="H39:H40"/>
    <mergeCell ref="C25:C38"/>
    <mergeCell ref="D25:D38"/>
    <mergeCell ref="E25:E37"/>
    <mergeCell ref="F25:F37"/>
    <mergeCell ref="G25:G37"/>
    <mergeCell ref="C39:C40"/>
    <mergeCell ref="D39:D40"/>
    <mergeCell ref="E39:E40"/>
    <mergeCell ref="F39:F40"/>
    <mergeCell ref="G39:G40"/>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3:J13"/>
  <sheetViews>
    <sheetView workbookViewId="0">
      <selection activeCell="H30" sqref="H30"/>
    </sheetView>
  </sheetViews>
  <sheetFormatPr baseColWidth="10" defaultRowHeight="15" x14ac:dyDescent="0.25"/>
  <cols>
    <col min="3" max="3" width="4" bestFit="1" customWidth="1"/>
    <col min="5" max="5" width="4" bestFit="1" customWidth="1"/>
    <col min="7" max="7" width="5" bestFit="1" customWidth="1"/>
    <col min="8" max="8" width="20.28515625" customWidth="1"/>
    <col min="9" max="9" width="8" customWidth="1"/>
    <col min="10" max="10" width="11.85546875" customWidth="1"/>
  </cols>
  <sheetData>
    <row r="3" spans="3:10" ht="21.75" customHeight="1" x14ac:dyDescent="0.25">
      <c r="C3" s="252" t="s">
        <v>0</v>
      </c>
      <c r="D3" s="252"/>
      <c r="E3" s="252" t="s">
        <v>1</v>
      </c>
      <c r="F3" s="252"/>
      <c r="G3" s="252" t="s">
        <v>2</v>
      </c>
      <c r="H3" s="252"/>
      <c r="I3" s="266" t="s">
        <v>151</v>
      </c>
      <c r="J3" s="266"/>
    </row>
    <row r="4" spans="3:10" x14ac:dyDescent="0.25">
      <c r="C4" s="47" t="s">
        <v>127</v>
      </c>
      <c r="D4" s="47" t="s">
        <v>128</v>
      </c>
      <c r="E4" s="47" t="s">
        <v>127</v>
      </c>
      <c r="F4" s="47" t="s">
        <v>128</v>
      </c>
      <c r="G4" s="47" t="s">
        <v>127</v>
      </c>
      <c r="H4" s="47" t="s">
        <v>128</v>
      </c>
      <c r="I4" s="47" t="s">
        <v>152</v>
      </c>
      <c r="J4" s="48" t="s">
        <v>123</v>
      </c>
    </row>
    <row r="5" spans="3:10" x14ac:dyDescent="0.25">
      <c r="C5" s="260">
        <v>1</v>
      </c>
      <c r="D5" s="260" t="s">
        <v>4</v>
      </c>
      <c r="E5" s="260">
        <v>16</v>
      </c>
      <c r="F5" s="260" t="s">
        <v>5</v>
      </c>
      <c r="G5" s="10">
        <v>1605</v>
      </c>
      <c r="H5" s="14" t="s">
        <v>6</v>
      </c>
      <c r="I5" s="10">
        <v>0.95</v>
      </c>
      <c r="J5" s="49" t="s">
        <v>143</v>
      </c>
    </row>
    <row r="6" spans="3:10" x14ac:dyDescent="0.25">
      <c r="C6" s="261"/>
      <c r="D6" s="261"/>
      <c r="E6" s="261"/>
      <c r="F6" s="261"/>
      <c r="G6" s="35" t="s">
        <v>9</v>
      </c>
      <c r="H6" s="36" t="s">
        <v>10</v>
      </c>
      <c r="I6" s="10">
        <v>0.91</v>
      </c>
      <c r="J6" s="49" t="s">
        <v>141</v>
      </c>
    </row>
    <row r="7" spans="3:10" ht="38.25" x14ac:dyDescent="0.25">
      <c r="C7" s="261"/>
      <c r="D7" s="261"/>
      <c r="E7" s="261"/>
      <c r="F7" s="261"/>
      <c r="G7" s="33" t="s">
        <v>21</v>
      </c>
      <c r="H7" s="37" t="s">
        <v>119</v>
      </c>
      <c r="I7" s="10">
        <v>0.78</v>
      </c>
      <c r="J7" s="49" t="s">
        <v>141</v>
      </c>
    </row>
    <row r="8" spans="3:10" x14ac:dyDescent="0.25">
      <c r="C8" s="261"/>
      <c r="D8" s="261"/>
      <c r="E8" s="261"/>
      <c r="F8" s="261"/>
      <c r="G8" s="33" t="s">
        <v>23</v>
      </c>
      <c r="H8" s="18" t="s">
        <v>24</v>
      </c>
      <c r="I8" s="10">
        <v>0.73</v>
      </c>
      <c r="J8" s="49" t="s">
        <v>144</v>
      </c>
    </row>
    <row r="9" spans="3:10" x14ac:dyDescent="0.25">
      <c r="C9" s="261"/>
      <c r="D9" s="261"/>
      <c r="E9" s="261"/>
      <c r="F9" s="261"/>
      <c r="G9" s="31">
        <v>1601</v>
      </c>
      <c r="H9" s="34" t="s">
        <v>26</v>
      </c>
      <c r="I9" s="10">
        <v>0.9</v>
      </c>
      <c r="J9" s="49" t="s">
        <v>141</v>
      </c>
    </row>
    <row r="10" spans="3:10" ht="25.5" x14ac:dyDescent="0.25">
      <c r="C10" s="257" t="s">
        <v>32</v>
      </c>
      <c r="D10" s="258" t="s">
        <v>33</v>
      </c>
      <c r="E10" s="2">
        <v>23</v>
      </c>
      <c r="F10" s="8" t="s">
        <v>34</v>
      </c>
      <c r="G10" s="38">
        <v>2319</v>
      </c>
      <c r="H10" s="37" t="s">
        <v>51</v>
      </c>
      <c r="I10" s="10">
        <v>0.91</v>
      </c>
      <c r="J10" s="49" t="s">
        <v>141</v>
      </c>
    </row>
    <row r="11" spans="3:10" x14ac:dyDescent="0.25">
      <c r="C11" s="257"/>
      <c r="D11" s="259"/>
      <c r="E11" s="10">
        <v>24</v>
      </c>
      <c r="F11" s="10" t="s">
        <v>52</v>
      </c>
      <c r="G11" s="31">
        <v>2403</v>
      </c>
      <c r="H11" s="19" t="s">
        <v>120</v>
      </c>
      <c r="I11" s="10">
        <v>0.85</v>
      </c>
      <c r="J11" s="49" t="s">
        <v>141</v>
      </c>
    </row>
    <row r="12" spans="3:10" x14ac:dyDescent="0.25">
      <c r="C12" s="10">
        <v>3</v>
      </c>
      <c r="D12" s="10" t="s">
        <v>54</v>
      </c>
      <c r="E12" s="10">
        <v>37</v>
      </c>
      <c r="F12" s="10" t="s">
        <v>55</v>
      </c>
      <c r="G12" s="31">
        <v>3701</v>
      </c>
      <c r="H12" s="19" t="s">
        <v>56</v>
      </c>
      <c r="I12" s="10">
        <v>0.72</v>
      </c>
      <c r="J12" s="49" t="s">
        <v>144</v>
      </c>
    </row>
    <row r="13" spans="3:10" x14ac:dyDescent="0.25">
      <c r="I13" s="10"/>
    </row>
  </sheetData>
  <mergeCells count="10">
    <mergeCell ref="C10:C11"/>
    <mergeCell ref="D10:D11"/>
    <mergeCell ref="I3:J3"/>
    <mergeCell ref="C3:D3"/>
    <mergeCell ref="E3:F3"/>
    <mergeCell ref="G3:H3"/>
    <mergeCell ref="C5:C9"/>
    <mergeCell ref="D5:D9"/>
    <mergeCell ref="E5:E9"/>
    <mergeCell ref="F5:F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D3:L42"/>
  <sheetViews>
    <sheetView topLeftCell="B1" workbookViewId="0">
      <selection activeCell="C13" sqref="C13"/>
    </sheetView>
  </sheetViews>
  <sheetFormatPr baseColWidth="10" defaultRowHeight="15" x14ac:dyDescent="0.25"/>
  <cols>
    <col min="4" max="4" width="4" bestFit="1" customWidth="1"/>
    <col min="5" max="5" width="16.28515625" bestFit="1" customWidth="1"/>
    <col min="6" max="6" width="4" bestFit="1" customWidth="1"/>
    <col min="8" max="8" width="5" bestFit="1" customWidth="1"/>
    <col min="11" max="12" width="22.7109375" bestFit="1" customWidth="1"/>
  </cols>
  <sheetData>
    <row r="3" spans="4:12" ht="15" customHeight="1" x14ac:dyDescent="0.25">
      <c r="D3" s="266" t="s">
        <v>0</v>
      </c>
      <c r="E3" s="266"/>
      <c r="F3" s="266" t="s">
        <v>1</v>
      </c>
      <c r="G3" s="266"/>
      <c r="H3" s="266" t="s">
        <v>2</v>
      </c>
      <c r="I3" s="266"/>
      <c r="J3" s="266" t="s">
        <v>3</v>
      </c>
      <c r="K3" s="267"/>
      <c r="L3" s="327" t="s">
        <v>146</v>
      </c>
    </row>
    <row r="4" spans="4:12" x14ac:dyDescent="0.25">
      <c r="D4" s="47" t="s">
        <v>127</v>
      </c>
      <c r="E4" s="47" t="s">
        <v>128</v>
      </c>
      <c r="F4" s="47" t="s">
        <v>127</v>
      </c>
      <c r="G4" s="47" t="s">
        <v>128</v>
      </c>
      <c r="H4" s="47" t="s">
        <v>127</v>
      </c>
      <c r="I4" s="47" t="s">
        <v>128</v>
      </c>
      <c r="J4" s="47" t="s">
        <v>127</v>
      </c>
      <c r="K4" s="47" t="s">
        <v>128</v>
      </c>
      <c r="L4" s="296"/>
    </row>
    <row r="5" spans="4:12" x14ac:dyDescent="0.25">
      <c r="D5" s="260">
        <v>1</v>
      </c>
      <c r="E5" s="260" t="s">
        <v>4</v>
      </c>
      <c r="F5" s="260">
        <v>16</v>
      </c>
      <c r="G5" s="260" t="s">
        <v>5</v>
      </c>
      <c r="H5" s="282">
        <v>1605</v>
      </c>
      <c r="I5" s="284" t="s">
        <v>6</v>
      </c>
      <c r="J5" s="49" t="s">
        <v>77</v>
      </c>
      <c r="K5" s="1" t="s">
        <v>7</v>
      </c>
      <c r="L5" s="29" t="s">
        <v>147</v>
      </c>
    </row>
    <row r="6" spans="4:12" x14ac:dyDescent="0.25">
      <c r="D6" s="261"/>
      <c r="E6" s="261"/>
      <c r="F6" s="261"/>
      <c r="G6" s="261"/>
      <c r="H6" s="282"/>
      <c r="I6" s="284"/>
      <c r="J6" s="49" t="s">
        <v>78</v>
      </c>
      <c r="K6" s="1" t="s">
        <v>8</v>
      </c>
      <c r="L6" s="29" t="s">
        <v>147</v>
      </c>
    </row>
    <row r="7" spans="4:12" x14ac:dyDescent="0.25">
      <c r="D7" s="261"/>
      <c r="E7" s="261"/>
      <c r="F7" s="261"/>
      <c r="G7" s="261"/>
      <c r="H7" s="285" t="s">
        <v>9</v>
      </c>
      <c r="I7" s="279" t="s">
        <v>10</v>
      </c>
      <c r="J7" s="7" t="s">
        <v>79</v>
      </c>
      <c r="K7" s="1" t="s">
        <v>11</v>
      </c>
      <c r="L7" s="29" t="s">
        <v>148</v>
      </c>
    </row>
    <row r="8" spans="4:12" x14ac:dyDescent="0.25">
      <c r="D8" s="261"/>
      <c r="E8" s="261"/>
      <c r="F8" s="261"/>
      <c r="G8" s="261"/>
      <c r="H8" s="286"/>
      <c r="I8" s="280"/>
      <c r="J8" s="7" t="s">
        <v>80</v>
      </c>
      <c r="K8" s="1" t="s">
        <v>12</v>
      </c>
      <c r="L8" s="29" t="s">
        <v>149</v>
      </c>
    </row>
    <row r="9" spans="4:12" x14ac:dyDescent="0.25">
      <c r="D9" s="261"/>
      <c r="E9" s="261"/>
      <c r="F9" s="261"/>
      <c r="G9" s="261"/>
      <c r="H9" s="286"/>
      <c r="I9" s="280"/>
      <c r="J9" s="7" t="s">
        <v>81</v>
      </c>
      <c r="K9" s="1" t="s">
        <v>13</v>
      </c>
      <c r="L9" s="29" t="s">
        <v>147</v>
      </c>
    </row>
    <row r="10" spans="4:12" x14ac:dyDescent="0.25">
      <c r="D10" s="261"/>
      <c r="E10" s="261"/>
      <c r="F10" s="261"/>
      <c r="G10" s="261"/>
      <c r="H10" s="286"/>
      <c r="I10" s="280"/>
      <c r="J10" s="7" t="s">
        <v>82</v>
      </c>
      <c r="K10" s="1" t="s">
        <v>14</v>
      </c>
      <c r="L10" s="29" t="s">
        <v>149</v>
      </c>
    </row>
    <row r="11" spans="4:12" x14ac:dyDescent="0.25">
      <c r="D11" s="261"/>
      <c r="E11" s="261"/>
      <c r="F11" s="261"/>
      <c r="G11" s="261"/>
      <c r="H11" s="286"/>
      <c r="I11" s="280"/>
      <c r="J11" s="7" t="s">
        <v>83</v>
      </c>
      <c r="K11" s="1" t="s">
        <v>15</v>
      </c>
      <c r="L11" s="29" t="s">
        <v>147</v>
      </c>
    </row>
    <row r="12" spans="4:12" x14ac:dyDescent="0.25">
      <c r="D12" s="261"/>
      <c r="E12" s="261"/>
      <c r="F12" s="261"/>
      <c r="G12" s="261"/>
      <c r="H12" s="286"/>
      <c r="I12" s="280"/>
      <c r="J12" s="7" t="s">
        <v>84</v>
      </c>
      <c r="K12" s="1" t="s">
        <v>16</v>
      </c>
      <c r="L12" s="29" t="s">
        <v>149</v>
      </c>
    </row>
    <row r="13" spans="4:12" x14ac:dyDescent="0.25">
      <c r="D13" s="261"/>
      <c r="E13" s="261"/>
      <c r="F13" s="261"/>
      <c r="G13" s="261"/>
      <c r="H13" s="286"/>
      <c r="I13" s="280"/>
      <c r="J13" s="7" t="s">
        <v>85</v>
      </c>
      <c r="K13" s="1" t="s">
        <v>17</v>
      </c>
      <c r="L13" s="29" t="s">
        <v>149</v>
      </c>
    </row>
    <row r="14" spans="4:12" x14ac:dyDescent="0.25">
      <c r="D14" s="261"/>
      <c r="E14" s="261"/>
      <c r="F14" s="261"/>
      <c r="G14" s="261"/>
      <c r="H14" s="286"/>
      <c r="I14" s="280"/>
      <c r="J14" s="7" t="s">
        <v>86</v>
      </c>
      <c r="K14" s="1" t="s">
        <v>18</v>
      </c>
      <c r="L14" s="29" t="s">
        <v>150</v>
      </c>
    </row>
    <row r="15" spans="4:12" x14ac:dyDescent="0.25">
      <c r="D15" s="261"/>
      <c r="E15" s="261"/>
      <c r="F15" s="261"/>
      <c r="G15" s="261"/>
      <c r="H15" s="286"/>
      <c r="I15" s="280"/>
      <c r="J15" s="7" t="s">
        <v>87</v>
      </c>
      <c r="K15" s="1" t="s">
        <v>19</v>
      </c>
      <c r="L15" s="29" t="s">
        <v>150</v>
      </c>
    </row>
    <row r="16" spans="4:12" x14ac:dyDescent="0.25">
      <c r="D16" s="261"/>
      <c r="E16" s="261"/>
      <c r="F16" s="261"/>
      <c r="G16" s="261"/>
      <c r="H16" s="287"/>
      <c r="I16" s="281"/>
      <c r="J16" s="7" t="s">
        <v>88</v>
      </c>
      <c r="K16" s="1" t="s">
        <v>20</v>
      </c>
      <c r="L16" s="29" t="s">
        <v>150</v>
      </c>
    </row>
    <row r="17" spans="4:12" x14ac:dyDescent="0.25">
      <c r="D17" s="261"/>
      <c r="E17" s="261"/>
      <c r="F17" s="261"/>
      <c r="G17" s="261"/>
      <c r="H17" s="7" t="s">
        <v>21</v>
      </c>
      <c r="I17" s="42" t="s">
        <v>119</v>
      </c>
      <c r="J17" s="50"/>
      <c r="K17" s="11" t="s">
        <v>22</v>
      </c>
      <c r="L17" s="29" t="s">
        <v>147</v>
      </c>
    </row>
    <row r="18" spans="4:12" x14ac:dyDescent="0.25">
      <c r="D18" s="261"/>
      <c r="E18" s="261"/>
      <c r="F18" s="261"/>
      <c r="G18" s="261"/>
      <c r="H18" s="7" t="s">
        <v>23</v>
      </c>
      <c r="I18" s="4" t="s">
        <v>24</v>
      </c>
      <c r="J18" s="53"/>
      <c r="K18" s="5" t="s">
        <v>25</v>
      </c>
      <c r="L18" s="29" t="s">
        <v>147</v>
      </c>
    </row>
    <row r="19" spans="4:12" x14ac:dyDescent="0.25">
      <c r="D19" s="261"/>
      <c r="E19" s="261"/>
      <c r="F19" s="261"/>
      <c r="G19" s="261"/>
      <c r="H19" s="282">
        <v>1601</v>
      </c>
      <c r="I19" s="284" t="s">
        <v>26</v>
      </c>
      <c r="J19" s="7">
        <v>20</v>
      </c>
      <c r="K19" s="6" t="s">
        <v>27</v>
      </c>
      <c r="L19" s="29" t="s">
        <v>147</v>
      </c>
    </row>
    <row r="20" spans="4:12" x14ac:dyDescent="0.25">
      <c r="D20" s="261"/>
      <c r="E20" s="261"/>
      <c r="F20" s="261"/>
      <c r="G20" s="261"/>
      <c r="H20" s="282"/>
      <c r="I20" s="284"/>
      <c r="J20" s="7">
        <v>17</v>
      </c>
      <c r="K20" s="6" t="s">
        <v>28</v>
      </c>
      <c r="L20" s="29" t="s">
        <v>148</v>
      </c>
    </row>
    <row r="21" spans="4:12" x14ac:dyDescent="0.25">
      <c r="D21" s="261"/>
      <c r="E21" s="261"/>
      <c r="F21" s="261"/>
      <c r="G21" s="261"/>
      <c r="H21" s="282"/>
      <c r="I21" s="284"/>
      <c r="J21" s="7">
        <v>21</v>
      </c>
      <c r="K21" s="6" t="s">
        <v>29</v>
      </c>
      <c r="L21" s="29" t="s">
        <v>148</v>
      </c>
    </row>
    <row r="22" spans="4:12" x14ac:dyDescent="0.25">
      <c r="D22" s="261"/>
      <c r="E22" s="261"/>
      <c r="F22" s="261"/>
      <c r="G22" s="261"/>
      <c r="H22" s="282"/>
      <c r="I22" s="284"/>
      <c r="J22" s="7">
        <v>24</v>
      </c>
      <c r="K22" s="6" t="s">
        <v>30</v>
      </c>
      <c r="L22" s="29" t="s">
        <v>147</v>
      </c>
    </row>
    <row r="23" spans="4:12" x14ac:dyDescent="0.25">
      <c r="D23" s="278"/>
      <c r="E23" s="278"/>
      <c r="F23" s="278"/>
      <c r="G23" s="278"/>
      <c r="H23" s="282"/>
      <c r="I23" s="284"/>
      <c r="J23" s="7">
        <v>25</v>
      </c>
      <c r="K23" s="6" t="s">
        <v>31</v>
      </c>
      <c r="L23" s="29" t="s">
        <v>147</v>
      </c>
    </row>
    <row r="24" spans="4:12" x14ac:dyDescent="0.25">
      <c r="D24" s="257" t="s">
        <v>32</v>
      </c>
      <c r="E24" s="258" t="s">
        <v>33</v>
      </c>
      <c r="F24" s="285">
        <v>23</v>
      </c>
      <c r="G24" s="258" t="s">
        <v>34</v>
      </c>
      <c r="H24" s="260">
        <v>2319</v>
      </c>
      <c r="I24" s="9" t="s">
        <v>35</v>
      </c>
      <c r="J24" s="7" t="s">
        <v>92</v>
      </c>
      <c r="K24" s="1" t="s">
        <v>36</v>
      </c>
      <c r="L24" s="29" t="s">
        <v>149</v>
      </c>
    </row>
    <row r="25" spans="4:12" x14ac:dyDescent="0.25">
      <c r="D25" s="257"/>
      <c r="E25" s="288"/>
      <c r="F25" s="286"/>
      <c r="G25" s="288"/>
      <c r="H25" s="261"/>
      <c r="I25" s="9" t="s">
        <v>37</v>
      </c>
      <c r="J25" s="7" t="s">
        <v>93</v>
      </c>
      <c r="K25" s="1" t="s">
        <v>38</v>
      </c>
      <c r="L25" s="29" t="s">
        <v>147</v>
      </c>
    </row>
    <row r="26" spans="4:12" x14ac:dyDescent="0.25">
      <c r="D26" s="257"/>
      <c r="E26" s="288"/>
      <c r="F26" s="286"/>
      <c r="G26" s="288"/>
      <c r="H26" s="261"/>
      <c r="I26" s="329" t="s">
        <v>39</v>
      </c>
      <c r="J26" s="7" t="s">
        <v>94</v>
      </c>
      <c r="K26" s="1" t="s">
        <v>40</v>
      </c>
      <c r="L26" s="29" t="s">
        <v>147</v>
      </c>
    </row>
    <row r="27" spans="4:12" x14ac:dyDescent="0.25">
      <c r="D27" s="257"/>
      <c r="E27" s="288"/>
      <c r="F27" s="286"/>
      <c r="G27" s="288"/>
      <c r="H27" s="261"/>
      <c r="I27" s="329"/>
      <c r="J27" s="7" t="s">
        <v>95</v>
      </c>
      <c r="K27" s="1" t="s">
        <v>41</v>
      </c>
      <c r="L27" s="29" t="s">
        <v>149</v>
      </c>
    </row>
    <row r="28" spans="4:12" x14ac:dyDescent="0.25">
      <c r="D28" s="257"/>
      <c r="E28" s="288"/>
      <c r="F28" s="286"/>
      <c r="G28" s="288"/>
      <c r="H28" s="261"/>
      <c r="I28" s="329"/>
      <c r="J28" s="7" t="s">
        <v>96</v>
      </c>
      <c r="K28" s="1" t="s">
        <v>42</v>
      </c>
      <c r="L28" s="29" t="s">
        <v>147</v>
      </c>
    </row>
    <row r="29" spans="4:12" x14ac:dyDescent="0.25">
      <c r="D29" s="257"/>
      <c r="E29" s="288"/>
      <c r="F29" s="286"/>
      <c r="G29" s="288"/>
      <c r="H29" s="261"/>
      <c r="I29" s="329"/>
      <c r="J29" s="7" t="s">
        <v>97</v>
      </c>
      <c r="K29" s="1" t="s">
        <v>43</v>
      </c>
      <c r="L29" s="29" t="s">
        <v>147</v>
      </c>
    </row>
    <row r="30" spans="4:12" x14ac:dyDescent="0.25">
      <c r="D30" s="257"/>
      <c r="E30" s="288"/>
      <c r="F30" s="286"/>
      <c r="G30" s="288"/>
      <c r="H30" s="261"/>
      <c r="I30" s="284" t="s">
        <v>45</v>
      </c>
      <c r="J30" s="7" t="s">
        <v>102</v>
      </c>
      <c r="K30" s="1" t="s">
        <v>46</v>
      </c>
      <c r="L30" s="29" t="s">
        <v>149</v>
      </c>
    </row>
    <row r="31" spans="4:12" x14ac:dyDescent="0.25">
      <c r="D31" s="257"/>
      <c r="E31" s="288"/>
      <c r="F31" s="286"/>
      <c r="G31" s="288"/>
      <c r="H31" s="261"/>
      <c r="I31" s="284"/>
      <c r="J31" s="7" t="s">
        <v>103</v>
      </c>
      <c r="K31" s="1" t="s">
        <v>47</v>
      </c>
      <c r="L31" s="29" t="s">
        <v>149</v>
      </c>
    </row>
    <row r="32" spans="4:12" x14ac:dyDescent="0.25">
      <c r="D32" s="257"/>
      <c r="E32" s="288"/>
      <c r="F32" s="286"/>
      <c r="G32" s="288"/>
      <c r="H32" s="261"/>
      <c r="I32" s="284"/>
      <c r="J32" s="7" t="s">
        <v>104</v>
      </c>
      <c r="K32" s="1" t="s">
        <v>48</v>
      </c>
      <c r="L32" s="29" t="s">
        <v>147</v>
      </c>
    </row>
    <row r="33" spans="4:12" ht="25.5" x14ac:dyDescent="0.25">
      <c r="D33" s="257"/>
      <c r="E33" s="288"/>
      <c r="F33" s="286"/>
      <c r="G33" s="288"/>
      <c r="H33" s="261"/>
      <c r="I33" s="14" t="s">
        <v>49</v>
      </c>
      <c r="J33" s="7" t="s">
        <v>109</v>
      </c>
      <c r="K33" s="17" t="s">
        <v>50</v>
      </c>
      <c r="L33" s="29" t="s">
        <v>147</v>
      </c>
    </row>
    <row r="34" spans="4:12" x14ac:dyDescent="0.25">
      <c r="D34" s="257"/>
      <c r="E34" s="288"/>
      <c r="F34" s="286"/>
      <c r="G34" s="288"/>
      <c r="H34" s="261"/>
      <c r="I34" s="330" t="s">
        <v>51</v>
      </c>
      <c r="J34" s="7" t="s">
        <v>98</v>
      </c>
      <c r="K34" s="5" t="s">
        <v>115</v>
      </c>
      <c r="L34" s="29" t="s">
        <v>149</v>
      </c>
    </row>
    <row r="35" spans="4:12" x14ac:dyDescent="0.25">
      <c r="D35" s="257"/>
      <c r="E35" s="288"/>
      <c r="F35" s="286"/>
      <c r="G35" s="288"/>
      <c r="H35" s="261"/>
      <c r="I35" s="331"/>
      <c r="J35" s="7"/>
      <c r="K35" s="5"/>
      <c r="L35" s="29" t="s">
        <v>149</v>
      </c>
    </row>
    <row r="36" spans="4:12" x14ac:dyDescent="0.25">
      <c r="D36" s="257"/>
      <c r="E36" s="288"/>
      <c r="F36" s="286"/>
      <c r="G36" s="288"/>
      <c r="H36" s="261"/>
      <c r="I36" s="331"/>
      <c r="J36" s="7"/>
      <c r="K36" s="5"/>
      <c r="L36" s="29" t="s">
        <v>149</v>
      </c>
    </row>
    <row r="37" spans="4:12" x14ac:dyDescent="0.25">
      <c r="D37" s="257"/>
      <c r="E37" s="288"/>
      <c r="F37" s="286"/>
      <c r="G37" s="288"/>
      <c r="H37" s="261"/>
      <c r="I37" s="331"/>
      <c r="J37" s="7"/>
      <c r="K37" s="5"/>
      <c r="L37" s="29" t="s">
        <v>149</v>
      </c>
    </row>
    <row r="38" spans="4:12" x14ac:dyDescent="0.25">
      <c r="D38" s="257"/>
      <c r="E38" s="288"/>
      <c r="F38" s="286"/>
      <c r="G38" s="288"/>
      <c r="H38" s="261"/>
      <c r="I38" s="331"/>
      <c r="J38" s="7"/>
      <c r="K38" s="40" t="s">
        <v>44</v>
      </c>
      <c r="L38" s="29" t="s">
        <v>149</v>
      </c>
    </row>
    <row r="39" spans="4:12" x14ac:dyDescent="0.25">
      <c r="D39" s="257"/>
      <c r="E39" s="288"/>
      <c r="F39" s="287"/>
      <c r="G39" s="259"/>
      <c r="H39" s="278"/>
      <c r="I39" s="332"/>
      <c r="J39" s="7" t="s">
        <v>108</v>
      </c>
      <c r="K39" s="5" t="s">
        <v>107</v>
      </c>
      <c r="L39" s="29" t="s">
        <v>149</v>
      </c>
    </row>
    <row r="40" spans="4:12" ht="25.5" x14ac:dyDescent="0.25">
      <c r="D40" s="257"/>
      <c r="E40" s="259"/>
      <c r="F40" s="10">
        <v>24</v>
      </c>
      <c r="G40" s="10" t="s">
        <v>52</v>
      </c>
      <c r="H40" s="10">
        <v>2403</v>
      </c>
      <c r="I40" s="52" t="s">
        <v>120</v>
      </c>
      <c r="J40" s="7"/>
      <c r="K40" s="4" t="s">
        <v>53</v>
      </c>
      <c r="L40" s="29" t="s">
        <v>149</v>
      </c>
    </row>
    <row r="41" spans="4:12" x14ac:dyDescent="0.25">
      <c r="D41" s="282">
        <v>3</v>
      </c>
      <c r="E41" s="260" t="s">
        <v>54</v>
      </c>
      <c r="F41" s="282">
        <v>37</v>
      </c>
      <c r="G41" s="260" t="s">
        <v>55</v>
      </c>
      <c r="H41" s="282">
        <v>3701</v>
      </c>
      <c r="I41" s="317" t="s">
        <v>56</v>
      </c>
      <c r="J41" s="7"/>
      <c r="K41" s="41"/>
      <c r="L41" s="29" t="s">
        <v>147</v>
      </c>
    </row>
    <row r="42" spans="4:12" x14ac:dyDescent="0.25">
      <c r="D42" s="282"/>
      <c r="E42" s="278"/>
      <c r="F42" s="282"/>
      <c r="G42" s="278"/>
      <c r="H42" s="282"/>
      <c r="I42" s="317"/>
      <c r="J42" s="7"/>
      <c r="K42" s="41" t="s">
        <v>57</v>
      </c>
      <c r="L42" s="29" t="s">
        <v>148</v>
      </c>
    </row>
  </sheetData>
  <mergeCells count="29">
    <mergeCell ref="J3:K3"/>
    <mergeCell ref="D5:D23"/>
    <mergeCell ref="E5:E23"/>
    <mergeCell ref="F5:F23"/>
    <mergeCell ref="G5:G23"/>
    <mergeCell ref="H5:H6"/>
    <mergeCell ref="E24:E40"/>
    <mergeCell ref="F24:F39"/>
    <mergeCell ref="G24:G39"/>
    <mergeCell ref="H24:H39"/>
    <mergeCell ref="D3:E3"/>
    <mergeCell ref="F3:G3"/>
    <mergeCell ref="H3:I3"/>
    <mergeCell ref="L3:L4"/>
    <mergeCell ref="D41:D42"/>
    <mergeCell ref="E41:E42"/>
    <mergeCell ref="F41:F42"/>
    <mergeCell ref="G41:G42"/>
    <mergeCell ref="H41:H42"/>
    <mergeCell ref="I41:I42"/>
    <mergeCell ref="I26:I29"/>
    <mergeCell ref="I30:I32"/>
    <mergeCell ref="I34:I39"/>
    <mergeCell ref="I5:I6"/>
    <mergeCell ref="H7:H16"/>
    <mergeCell ref="I7:I16"/>
    <mergeCell ref="H19:H23"/>
    <mergeCell ref="I19:I23"/>
    <mergeCell ref="D24:D4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98"/>
  <sheetViews>
    <sheetView topLeftCell="H1" zoomScale="90" zoomScaleNormal="90" workbookViewId="0">
      <selection activeCell="H5" sqref="H5:H39"/>
    </sheetView>
  </sheetViews>
  <sheetFormatPr baseColWidth="10" defaultRowHeight="12.75" x14ac:dyDescent="0.2"/>
  <cols>
    <col min="1" max="2" width="11.42578125" style="15"/>
    <col min="3" max="3" width="5.7109375" style="15" customWidth="1"/>
    <col min="4" max="4" width="11.42578125" style="15"/>
    <col min="5" max="5" width="4" style="15" bestFit="1" customWidth="1"/>
    <col min="6" max="6" width="11.42578125" style="15"/>
    <col min="7" max="7" width="5" style="15" bestFit="1" customWidth="1"/>
    <col min="8" max="8" width="11.42578125" style="15"/>
    <col min="9" max="9" width="12.7109375" style="15" bestFit="1" customWidth="1"/>
    <col min="10" max="10" width="18.5703125" style="15" bestFit="1" customWidth="1"/>
    <col min="11" max="11" width="12.7109375" style="15" bestFit="1" customWidth="1"/>
    <col min="12" max="12" width="15.42578125" style="15" customWidth="1"/>
    <col min="13" max="17" width="11.42578125" style="15" customWidth="1"/>
    <col min="18" max="18" width="11.42578125" style="16" customWidth="1"/>
    <col min="19" max="19" width="10.28515625" style="16" bestFit="1" customWidth="1"/>
    <col min="20" max="20" width="10.7109375" style="16" bestFit="1" customWidth="1"/>
    <col min="21" max="21" width="10.28515625" style="16" bestFit="1" customWidth="1"/>
    <col min="22" max="22" width="10.7109375" style="16" bestFit="1" customWidth="1"/>
    <col min="23" max="16384" width="11.42578125" style="15"/>
  </cols>
  <sheetData>
    <row r="1" spans="3:22" x14ac:dyDescent="0.2">
      <c r="M1" s="229" t="s">
        <v>275</v>
      </c>
      <c r="P1" s="229" t="s">
        <v>289</v>
      </c>
      <c r="S1" s="229" t="s">
        <v>291</v>
      </c>
    </row>
    <row r="2" spans="3:22" ht="15" customHeight="1" x14ac:dyDescent="0.2">
      <c r="C2" s="266" t="s">
        <v>0</v>
      </c>
      <c r="D2" s="266"/>
      <c r="E2" s="266" t="s">
        <v>1</v>
      </c>
      <c r="F2" s="266"/>
      <c r="G2" s="266" t="s">
        <v>2</v>
      </c>
      <c r="H2" s="266"/>
      <c r="I2" s="266" t="s">
        <v>190</v>
      </c>
      <c r="J2" s="267"/>
      <c r="K2" s="266" t="s">
        <v>191</v>
      </c>
      <c r="L2" s="267"/>
      <c r="M2" s="263" t="s">
        <v>67</v>
      </c>
      <c r="N2" s="264"/>
      <c r="O2" s="265"/>
      <c r="P2" s="262" t="s">
        <v>58</v>
      </c>
      <c r="Q2" s="262"/>
      <c r="R2" s="262"/>
      <c r="S2" s="263" t="s">
        <v>72</v>
      </c>
      <c r="T2" s="264"/>
      <c r="U2" s="264"/>
      <c r="V2" s="265"/>
    </row>
    <row r="3" spans="3:22" ht="15" customHeight="1" x14ac:dyDescent="0.2">
      <c r="C3" s="266"/>
      <c r="D3" s="266"/>
      <c r="E3" s="266"/>
      <c r="F3" s="266"/>
      <c r="G3" s="266"/>
      <c r="H3" s="266"/>
      <c r="I3" s="266"/>
      <c r="J3" s="267"/>
      <c r="K3" s="266"/>
      <c r="L3" s="267"/>
      <c r="M3" s="272" t="s">
        <v>60</v>
      </c>
      <c r="N3" s="274" t="s">
        <v>61</v>
      </c>
      <c r="O3" s="276" t="s">
        <v>68</v>
      </c>
      <c r="P3" s="272" t="s">
        <v>60</v>
      </c>
      <c r="Q3" s="274" t="s">
        <v>61</v>
      </c>
      <c r="R3" s="276" t="s">
        <v>68</v>
      </c>
      <c r="S3" s="292" t="s">
        <v>73</v>
      </c>
      <c r="T3" s="293"/>
      <c r="U3" s="292" t="s">
        <v>74</v>
      </c>
      <c r="V3" s="293"/>
    </row>
    <row r="4" spans="3:22" ht="12.75" customHeight="1" x14ac:dyDescent="0.2">
      <c r="C4" s="47" t="s">
        <v>127</v>
      </c>
      <c r="D4" s="47" t="s">
        <v>128</v>
      </c>
      <c r="E4" s="47" t="s">
        <v>127</v>
      </c>
      <c r="F4" s="47" t="s">
        <v>128</v>
      </c>
      <c r="G4" s="47" t="s">
        <v>127</v>
      </c>
      <c r="H4" s="47" t="s">
        <v>128</v>
      </c>
      <c r="I4" s="47" t="s">
        <v>127</v>
      </c>
      <c r="J4" s="47" t="s">
        <v>128</v>
      </c>
      <c r="K4" s="47" t="s">
        <v>127</v>
      </c>
      <c r="L4" s="47" t="s">
        <v>128</v>
      </c>
      <c r="M4" s="273"/>
      <c r="N4" s="275"/>
      <c r="O4" s="277"/>
      <c r="P4" s="273"/>
      <c r="Q4" s="275"/>
      <c r="R4" s="277"/>
      <c r="S4" s="30" t="s">
        <v>122</v>
      </c>
      <c r="T4" s="30" t="s">
        <v>123</v>
      </c>
      <c r="U4" s="30" t="s">
        <v>122</v>
      </c>
      <c r="V4" s="30" t="s">
        <v>123</v>
      </c>
    </row>
    <row r="5" spans="3:22" x14ac:dyDescent="0.2">
      <c r="C5" s="260">
        <v>1</v>
      </c>
      <c r="D5" s="260" t="s">
        <v>4</v>
      </c>
      <c r="E5" s="260">
        <v>16</v>
      </c>
      <c r="F5" s="260" t="s">
        <v>5</v>
      </c>
      <c r="G5" s="282">
        <v>1605</v>
      </c>
      <c r="H5" s="284" t="s">
        <v>6</v>
      </c>
      <c r="I5" s="14" t="s">
        <v>77</v>
      </c>
      <c r="J5" s="1" t="s">
        <v>7</v>
      </c>
      <c r="K5" s="1"/>
      <c r="L5" s="1"/>
      <c r="M5" s="3">
        <v>4.04</v>
      </c>
      <c r="N5" s="10">
        <v>1.54</v>
      </c>
      <c r="O5" s="79">
        <v>7.23</v>
      </c>
      <c r="P5" s="10">
        <v>2.63</v>
      </c>
      <c r="Q5" s="10">
        <v>1</v>
      </c>
      <c r="R5" s="55" t="s">
        <v>161</v>
      </c>
      <c r="S5" s="21">
        <v>0.61</v>
      </c>
      <c r="T5" s="10" t="s">
        <v>124</v>
      </c>
      <c r="U5" s="10">
        <v>0.38</v>
      </c>
      <c r="V5" s="10" t="s">
        <v>126</v>
      </c>
    </row>
    <row r="6" spans="3:22" x14ac:dyDescent="0.2">
      <c r="C6" s="261"/>
      <c r="D6" s="261"/>
      <c r="E6" s="261"/>
      <c r="F6" s="261"/>
      <c r="G6" s="282"/>
      <c r="H6" s="284"/>
      <c r="I6" s="14" t="s">
        <v>78</v>
      </c>
      <c r="J6" s="1" t="s">
        <v>8</v>
      </c>
      <c r="K6" s="1"/>
      <c r="L6" s="1"/>
      <c r="M6" s="3">
        <v>4.7</v>
      </c>
      <c r="N6" s="10">
        <v>1.79</v>
      </c>
      <c r="O6" s="10">
        <v>8.41</v>
      </c>
      <c r="P6" s="10">
        <v>3.06</v>
      </c>
      <c r="Q6" s="10">
        <v>1.17</v>
      </c>
      <c r="R6" s="55" t="s">
        <v>161</v>
      </c>
      <c r="S6" s="21">
        <v>0.61</v>
      </c>
      <c r="T6" s="10" t="s">
        <v>124</v>
      </c>
      <c r="U6" s="10">
        <v>0.38</v>
      </c>
      <c r="V6" s="10" t="s">
        <v>126</v>
      </c>
    </row>
    <row r="7" spans="3:22" x14ac:dyDescent="0.2">
      <c r="C7" s="261"/>
      <c r="D7" s="261"/>
      <c r="E7" s="261"/>
      <c r="F7" s="261"/>
      <c r="G7" s="285" t="s">
        <v>9</v>
      </c>
      <c r="H7" s="279" t="s">
        <v>10</v>
      </c>
      <c r="I7" s="6" t="s">
        <v>79</v>
      </c>
      <c r="J7" s="1" t="s">
        <v>11</v>
      </c>
      <c r="K7" s="1"/>
      <c r="L7" s="1"/>
      <c r="M7" s="10">
        <v>15.16</v>
      </c>
      <c r="N7" s="10">
        <v>4.05</v>
      </c>
      <c r="O7" s="55" t="s">
        <v>161</v>
      </c>
      <c r="P7" s="20">
        <f>7166.26/1000</f>
        <v>7.1662600000000003</v>
      </c>
      <c r="Q7" s="20">
        <f>308.41/1000</f>
        <v>0.30841000000000002</v>
      </c>
      <c r="R7" s="55" t="s">
        <v>161</v>
      </c>
      <c r="S7" s="21">
        <v>0.66700000000000004</v>
      </c>
      <c r="T7" s="10" t="s">
        <v>125</v>
      </c>
      <c r="U7" s="268" t="s">
        <v>161</v>
      </c>
      <c r="V7" s="269"/>
    </row>
    <row r="8" spans="3:22" x14ac:dyDescent="0.2">
      <c r="C8" s="261"/>
      <c r="D8" s="261"/>
      <c r="E8" s="261"/>
      <c r="F8" s="261"/>
      <c r="G8" s="286"/>
      <c r="H8" s="280"/>
      <c r="I8" s="6" t="s">
        <v>80</v>
      </c>
      <c r="J8" s="1" t="s">
        <v>12</v>
      </c>
      <c r="K8" s="1"/>
      <c r="L8" s="1"/>
      <c r="M8" s="79">
        <v>1.83</v>
      </c>
      <c r="N8" s="10">
        <v>0.87</v>
      </c>
      <c r="O8" s="55" t="s">
        <v>161</v>
      </c>
      <c r="P8" s="71">
        <f>775.93/1000</f>
        <v>0.7759299999999999</v>
      </c>
      <c r="Q8" s="43">
        <f>87.35/1000</f>
        <v>8.7349999999999997E-2</v>
      </c>
      <c r="R8" s="55" t="s">
        <v>161</v>
      </c>
      <c r="S8" s="21">
        <v>0.68799999999999994</v>
      </c>
      <c r="T8" s="10" t="s">
        <v>125</v>
      </c>
      <c r="U8" s="268" t="s">
        <v>161</v>
      </c>
      <c r="V8" s="269"/>
    </row>
    <row r="9" spans="3:22" x14ac:dyDescent="0.2">
      <c r="C9" s="261"/>
      <c r="D9" s="261"/>
      <c r="E9" s="261"/>
      <c r="F9" s="261"/>
      <c r="G9" s="286"/>
      <c r="H9" s="280"/>
      <c r="I9" s="6" t="s">
        <v>81</v>
      </c>
      <c r="J9" s="1" t="s">
        <v>13</v>
      </c>
      <c r="K9" s="1"/>
      <c r="L9" s="1"/>
      <c r="M9" s="10">
        <v>15.85</v>
      </c>
      <c r="N9" s="10">
        <v>3.72</v>
      </c>
      <c r="O9" s="55" t="s">
        <v>161</v>
      </c>
      <c r="P9" s="20">
        <f>6909.24/1000</f>
        <v>6.9092399999999996</v>
      </c>
      <c r="Q9" s="20">
        <f>1045.1/1000</f>
        <v>1.0450999999999999</v>
      </c>
      <c r="R9" s="55" t="s">
        <v>161</v>
      </c>
      <c r="S9" s="21">
        <v>0.66600000000000004</v>
      </c>
      <c r="T9" s="10" t="s">
        <v>125</v>
      </c>
      <c r="U9" s="268" t="s">
        <v>161</v>
      </c>
      <c r="V9" s="269"/>
    </row>
    <row r="10" spans="3:22" x14ac:dyDescent="0.2">
      <c r="C10" s="261"/>
      <c r="D10" s="261"/>
      <c r="E10" s="261"/>
      <c r="F10" s="261"/>
      <c r="G10" s="286"/>
      <c r="H10" s="280"/>
      <c r="I10" s="6" t="s">
        <v>82</v>
      </c>
      <c r="J10" s="1" t="s">
        <v>14</v>
      </c>
      <c r="K10" s="1"/>
      <c r="L10" s="1"/>
      <c r="M10" s="10">
        <v>4.79</v>
      </c>
      <c r="N10" s="10">
        <v>2.2799999999999998</v>
      </c>
      <c r="O10" s="55" t="s">
        <v>161</v>
      </c>
      <c r="P10" s="20">
        <f>1920.61/1000</f>
        <v>1.9206099999999999</v>
      </c>
      <c r="Q10" s="20">
        <f>153.87/1000</f>
        <v>0.15387000000000001</v>
      </c>
      <c r="R10" s="55" t="s">
        <v>161</v>
      </c>
      <c r="S10" s="21">
        <v>0.68799999999999994</v>
      </c>
      <c r="T10" s="10" t="s">
        <v>125</v>
      </c>
      <c r="U10" s="268" t="s">
        <v>161</v>
      </c>
      <c r="V10" s="269"/>
    </row>
    <row r="11" spans="3:22" x14ac:dyDescent="0.2">
      <c r="C11" s="261"/>
      <c r="D11" s="261"/>
      <c r="E11" s="261"/>
      <c r="F11" s="261"/>
      <c r="G11" s="286"/>
      <c r="H11" s="280"/>
      <c r="I11" s="6" t="s">
        <v>83</v>
      </c>
      <c r="J11" s="1" t="s">
        <v>15</v>
      </c>
      <c r="K11" s="1"/>
      <c r="L11" s="1"/>
      <c r="M11" s="74">
        <v>17.53</v>
      </c>
      <c r="N11" s="74">
        <v>8.34</v>
      </c>
      <c r="O11" s="55" t="s">
        <v>161</v>
      </c>
      <c r="P11" s="20">
        <f>6771.63/1000</f>
        <v>6.77163</v>
      </c>
      <c r="Q11" s="20">
        <f>457.92/1000</f>
        <v>0.45791999999999999</v>
      </c>
      <c r="R11" s="55" t="s">
        <v>161</v>
      </c>
      <c r="S11" s="21">
        <v>0.68799999999999994</v>
      </c>
      <c r="T11" s="10" t="s">
        <v>125</v>
      </c>
      <c r="U11" s="268" t="s">
        <v>161</v>
      </c>
      <c r="V11" s="269"/>
    </row>
    <row r="12" spans="3:22" x14ac:dyDescent="0.2">
      <c r="C12" s="261"/>
      <c r="D12" s="261"/>
      <c r="E12" s="261"/>
      <c r="F12" s="261"/>
      <c r="G12" s="286"/>
      <c r="H12" s="280"/>
      <c r="I12" s="6" t="s">
        <v>84</v>
      </c>
      <c r="J12" s="1" t="s">
        <v>16</v>
      </c>
      <c r="K12" s="1"/>
      <c r="L12" s="1"/>
      <c r="M12" s="10">
        <v>8.56</v>
      </c>
      <c r="N12" s="10">
        <v>2.0099999999999998</v>
      </c>
      <c r="O12" s="55" t="s">
        <v>161</v>
      </c>
      <c r="P12" s="20">
        <f>3906.74/1000</f>
        <v>3.9067399999999997</v>
      </c>
      <c r="Q12" s="20">
        <f>684.52/1000</f>
        <v>0.68452000000000002</v>
      </c>
      <c r="R12" s="55" t="s">
        <v>161</v>
      </c>
      <c r="S12" s="21">
        <v>0.66600000000000004</v>
      </c>
      <c r="T12" s="10" t="s">
        <v>125</v>
      </c>
      <c r="U12" s="268" t="s">
        <v>161</v>
      </c>
      <c r="V12" s="269"/>
    </row>
    <row r="13" spans="3:22" x14ac:dyDescent="0.2">
      <c r="C13" s="261"/>
      <c r="D13" s="261"/>
      <c r="E13" s="261"/>
      <c r="F13" s="261"/>
      <c r="G13" s="286"/>
      <c r="H13" s="280"/>
      <c r="I13" s="6" t="s">
        <v>85</v>
      </c>
      <c r="J13" s="1" t="s">
        <v>17</v>
      </c>
      <c r="K13" s="1"/>
      <c r="L13" s="1"/>
      <c r="M13" s="10">
        <v>5.15</v>
      </c>
      <c r="N13" s="10">
        <v>1.21</v>
      </c>
      <c r="O13" s="55" t="s">
        <v>161</v>
      </c>
      <c r="P13" s="20">
        <f>2305.57/1000</f>
        <v>2.3055700000000003</v>
      </c>
      <c r="Q13" s="20">
        <f>394.42/1000</f>
        <v>0.39441999999999999</v>
      </c>
      <c r="R13" s="55" t="s">
        <v>161</v>
      </c>
      <c r="S13" s="21">
        <v>0.66600000000000004</v>
      </c>
      <c r="T13" s="10" t="s">
        <v>125</v>
      </c>
      <c r="U13" s="268" t="s">
        <v>161</v>
      </c>
      <c r="V13" s="269"/>
    </row>
    <row r="14" spans="3:22" x14ac:dyDescent="0.2">
      <c r="C14" s="261"/>
      <c r="D14" s="261"/>
      <c r="E14" s="261"/>
      <c r="F14" s="261"/>
      <c r="G14" s="286"/>
      <c r="H14" s="280"/>
      <c r="I14" s="6" t="s">
        <v>86</v>
      </c>
      <c r="J14" s="1" t="s">
        <v>18</v>
      </c>
      <c r="K14" s="1"/>
      <c r="L14" s="1"/>
      <c r="M14" s="10">
        <v>6.69</v>
      </c>
      <c r="N14" s="10">
        <v>3.18</v>
      </c>
      <c r="O14" s="55" t="s">
        <v>161</v>
      </c>
      <c r="P14" s="20">
        <f>2618.85/1000</f>
        <v>2.6188500000000001</v>
      </c>
      <c r="Q14" s="20">
        <f>32.43/1000</f>
        <v>3.243E-2</v>
      </c>
      <c r="R14" s="55" t="s">
        <v>161</v>
      </c>
      <c r="S14" s="21">
        <v>0.68799999999999994</v>
      </c>
      <c r="T14" s="10" t="s">
        <v>125</v>
      </c>
      <c r="U14" s="268" t="s">
        <v>161</v>
      </c>
      <c r="V14" s="269"/>
    </row>
    <row r="15" spans="3:22" x14ac:dyDescent="0.2">
      <c r="C15" s="261"/>
      <c r="D15" s="261"/>
      <c r="E15" s="261"/>
      <c r="F15" s="261"/>
      <c r="G15" s="286"/>
      <c r="H15" s="280"/>
      <c r="I15" s="6" t="s">
        <v>87</v>
      </c>
      <c r="J15" s="1" t="s">
        <v>19</v>
      </c>
      <c r="K15" s="1"/>
      <c r="L15" s="1"/>
      <c r="M15" s="10">
        <v>9.8699999999999992</v>
      </c>
      <c r="N15" s="10">
        <v>4.7</v>
      </c>
      <c r="O15" s="55" t="s">
        <v>161</v>
      </c>
      <c r="P15" s="20">
        <f>3733.76/1000</f>
        <v>3.7337600000000002</v>
      </c>
      <c r="Q15" s="20">
        <f>163.97/1000</f>
        <v>0.16397</v>
      </c>
      <c r="R15" s="55" t="s">
        <v>161</v>
      </c>
      <c r="S15" s="21">
        <v>0.68799999999999994</v>
      </c>
      <c r="T15" s="10" t="s">
        <v>125</v>
      </c>
      <c r="U15" s="268" t="s">
        <v>161</v>
      </c>
      <c r="V15" s="269"/>
    </row>
    <row r="16" spans="3:22" x14ac:dyDescent="0.2">
      <c r="C16" s="261"/>
      <c r="D16" s="261"/>
      <c r="E16" s="261"/>
      <c r="F16" s="261"/>
      <c r="G16" s="287"/>
      <c r="H16" s="281"/>
      <c r="I16" s="6" t="s">
        <v>88</v>
      </c>
      <c r="J16" s="1" t="s">
        <v>20</v>
      </c>
      <c r="K16" s="1"/>
      <c r="L16" s="1"/>
      <c r="M16" s="10">
        <v>4.21</v>
      </c>
      <c r="N16" s="10">
        <v>2</v>
      </c>
      <c r="O16" s="55" t="s">
        <v>161</v>
      </c>
      <c r="P16" s="20">
        <f>1698.18/1000</f>
        <v>1.69818</v>
      </c>
      <c r="Q16" s="44">
        <f>3.57/1000</f>
        <v>3.5699999999999998E-3</v>
      </c>
      <c r="R16" s="55" t="s">
        <v>161</v>
      </c>
      <c r="S16" s="21">
        <v>0.68799999999999994</v>
      </c>
      <c r="T16" s="10" t="s">
        <v>125</v>
      </c>
      <c r="U16" s="268" t="s">
        <v>161</v>
      </c>
      <c r="V16" s="269"/>
    </row>
    <row r="17" spans="3:22" x14ac:dyDescent="0.2">
      <c r="C17" s="261"/>
      <c r="D17" s="261"/>
      <c r="E17" s="261"/>
      <c r="F17" s="261"/>
      <c r="G17" s="3" t="s">
        <v>21</v>
      </c>
      <c r="H17" s="36" t="s">
        <v>119</v>
      </c>
      <c r="I17" s="32"/>
      <c r="J17" s="18" t="s">
        <v>22</v>
      </c>
      <c r="K17" s="18"/>
      <c r="L17" s="18"/>
      <c r="M17" s="10" t="s">
        <v>161</v>
      </c>
      <c r="N17" s="55" t="s">
        <v>161</v>
      </c>
      <c r="O17" s="55" t="s">
        <v>161</v>
      </c>
      <c r="P17" s="55" t="s">
        <v>161</v>
      </c>
      <c r="Q17" s="55" t="s">
        <v>161</v>
      </c>
      <c r="R17" s="55" t="s">
        <v>161</v>
      </c>
      <c r="S17" s="268" t="s">
        <v>161</v>
      </c>
      <c r="T17" s="269"/>
      <c r="U17" s="268" t="s">
        <v>161</v>
      </c>
      <c r="V17" s="269"/>
    </row>
    <row r="18" spans="3:22" x14ac:dyDescent="0.2">
      <c r="C18" s="261"/>
      <c r="D18" s="261"/>
      <c r="E18" s="261"/>
      <c r="F18" s="261"/>
      <c r="G18" s="3" t="s">
        <v>23</v>
      </c>
      <c r="H18" s="18" t="s">
        <v>24</v>
      </c>
      <c r="I18" s="18"/>
      <c r="J18" s="225" t="s">
        <v>25</v>
      </c>
      <c r="K18" s="225"/>
      <c r="L18" s="225"/>
      <c r="M18" s="55" t="s">
        <v>161</v>
      </c>
      <c r="N18" s="55" t="s">
        <v>161</v>
      </c>
      <c r="O18" s="55" t="s">
        <v>161</v>
      </c>
      <c r="P18" s="55" t="s">
        <v>161</v>
      </c>
      <c r="Q18" s="55" t="s">
        <v>161</v>
      </c>
      <c r="R18" s="55" t="s">
        <v>161</v>
      </c>
      <c r="S18" s="268" t="s">
        <v>161</v>
      </c>
      <c r="T18" s="269"/>
      <c r="U18" s="268" t="s">
        <v>161</v>
      </c>
      <c r="V18" s="269"/>
    </row>
    <row r="19" spans="3:22" x14ac:dyDescent="0.2">
      <c r="C19" s="261"/>
      <c r="D19" s="261"/>
      <c r="E19" s="261"/>
      <c r="F19" s="261"/>
      <c r="G19" s="282">
        <v>1601</v>
      </c>
      <c r="H19" s="283" t="s">
        <v>26</v>
      </c>
      <c r="I19" s="19">
        <v>20</v>
      </c>
      <c r="J19" s="19" t="s">
        <v>27</v>
      </c>
      <c r="K19" s="19"/>
      <c r="L19" s="19"/>
      <c r="M19" s="55" t="s">
        <v>161</v>
      </c>
      <c r="N19" s="55" t="s">
        <v>161</v>
      </c>
      <c r="O19" s="55" t="s">
        <v>161</v>
      </c>
      <c r="P19" s="55" t="s">
        <v>161</v>
      </c>
      <c r="Q19" s="55" t="s">
        <v>161</v>
      </c>
      <c r="R19" s="55" t="s">
        <v>161</v>
      </c>
      <c r="S19" s="176">
        <v>0.68</v>
      </c>
      <c r="T19" s="31" t="s">
        <v>125</v>
      </c>
      <c r="U19" s="270" t="s">
        <v>161</v>
      </c>
      <c r="V19" s="271"/>
    </row>
    <row r="20" spans="3:22" x14ac:dyDescent="0.2">
      <c r="C20" s="261"/>
      <c r="D20" s="261"/>
      <c r="E20" s="261"/>
      <c r="F20" s="261"/>
      <c r="G20" s="282"/>
      <c r="H20" s="283"/>
      <c r="I20" s="19">
        <v>17</v>
      </c>
      <c r="J20" s="19" t="s">
        <v>28</v>
      </c>
      <c r="K20" s="19"/>
      <c r="L20" s="19"/>
      <c r="M20" s="55" t="s">
        <v>161</v>
      </c>
      <c r="N20" s="55" t="s">
        <v>161</v>
      </c>
      <c r="O20" s="55" t="s">
        <v>161</v>
      </c>
      <c r="P20" s="55" t="s">
        <v>161</v>
      </c>
      <c r="Q20" s="55" t="s">
        <v>161</v>
      </c>
      <c r="R20" s="55" t="s">
        <v>161</v>
      </c>
      <c r="S20" s="176">
        <v>0.72</v>
      </c>
      <c r="T20" s="31" t="s">
        <v>125</v>
      </c>
      <c r="U20" s="270" t="s">
        <v>161</v>
      </c>
      <c r="V20" s="271"/>
    </row>
    <row r="21" spans="3:22" x14ac:dyDescent="0.2">
      <c r="C21" s="261"/>
      <c r="D21" s="261"/>
      <c r="E21" s="261"/>
      <c r="F21" s="261"/>
      <c r="G21" s="282"/>
      <c r="H21" s="283"/>
      <c r="I21" s="19">
        <v>21</v>
      </c>
      <c r="J21" s="19" t="s">
        <v>29</v>
      </c>
      <c r="K21" s="19"/>
      <c r="L21" s="19"/>
      <c r="M21" s="55" t="s">
        <v>161</v>
      </c>
      <c r="N21" s="55" t="s">
        <v>161</v>
      </c>
      <c r="O21" s="55" t="s">
        <v>161</v>
      </c>
      <c r="P21" s="55" t="s">
        <v>161</v>
      </c>
      <c r="Q21" s="55" t="s">
        <v>161</v>
      </c>
      <c r="R21" s="55" t="s">
        <v>161</v>
      </c>
      <c r="S21" s="176">
        <v>0.75</v>
      </c>
      <c r="T21" s="31" t="s">
        <v>125</v>
      </c>
      <c r="U21" s="270" t="s">
        <v>161</v>
      </c>
      <c r="V21" s="271"/>
    </row>
    <row r="22" spans="3:22" x14ac:dyDescent="0.2">
      <c r="C22" s="261"/>
      <c r="D22" s="261"/>
      <c r="E22" s="261"/>
      <c r="F22" s="261"/>
      <c r="G22" s="282"/>
      <c r="H22" s="283"/>
      <c r="I22" s="19">
        <v>24</v>
      </c>
      <c r="J22" s="19" t="s">
        <v>30</v>
      </c>
      <c r="K22" s="19"/>
      <c r="L22" s="19"/>
      <c r="M22" s="55" t="s">
        <v>161</v>
      </c>
      <c r="N22" s="55" t="s">
        <v>161</v>
      </c>
      <c r="O22" s="55" t="s">
        <v>161</v>
      </c>
      <c r="P22" s="55" t="s">
        <v>161</v>
      </c>
      <c r="Q22" s="55" t="s">
        <v>161</v>
      </c>
      <c r="R22" s="55" t="s">
        <v>161</v>
      </c>
      <c r="S22" s="176">
        <v>0.74</v>
      </c>
      <c r="T22" s="31" t="s">
        <v>125</v>
      </c>
      <c r="U22" s="270" t="s">
        <v>161</v>
      </c>
      <c r="V22" s="271"/>
    </row>
    <row r="23" spans="3:22" x14ac:dyDescent="0.2">
      <c r="C23" s="278"/>
      <c r="D23" s="278"/>
      <c r="E23" s="278"/>
      <c r="F23" s="278"/>
      <c r="G23" s="282"/>
      <c r="H23" s="283"/>
      <c r="I23" s="19">
        <v>25</v>
      </c>
      <c r="J23" s="19" t="s">
        <v>31</v>
      </c>
      <c r="K23" s="19"/>
      <c r="L23" s="19"/>
      <c r="M23" s="55" t="s">
        <v>161</v>
      </c>
      <c r="N23" s="55" t="s">
        <v>161</v>
      </c>
      <c r="O23" s="55" t="s">
        <v>161</v>
      </c>
      <c r="P23" s="55" t="s">
        <v>161</v>
      </c>
      <c r="Q23" s="55" t="s">
        <v>161</v>
      </c>
      <c r="R23" s="55" t="s">
        <v>161</v>
      </c>
      <c r="S23" s="176">
        <v>0.74</v>
      </c>
      <c r="T23" s="31" t="s">
        <v>125</v>
      </c>
      <c r="U23" s="270" t="s">
        <v>161</v>
      </c>
      <c r="V23" s="271"/>
    </row>
    <row r="24" spans="3:22" ht="12.75" customHeight="1" x14ac:dyDescent="0.2">
      <c r="C24" s="257" t="s">
        <v>32</v>
      </c>
      <c r="D24" s="258" t="s">
        <v>33</v>
      </c>
      <c r="E24" s="285">
        <v>23</v>
      </c>
      <c r="F24" s="258" t="s">
        <v>34</v>
      </c>
      <c r="G24" s="260">
        <v>2319</v>
      </c>
      <c r="H24" s="290" t="s">
        <v>51</v>
      </c>
      <c r="I24" s="19" t="s">
        <v>185</v>
      </c>
      <c r="J24" s="18" t="s">
        <v>35</v>
      </c>
      <c r="K24" s="19" t="s">
        <v>92</v>
      </c>
      <c r="L24" s="226" t="s">
        <v>36</v>
      </c>
      <c r="M24" s="20">
        <v>5.633</v>
      </c>
      <c r="N24" s="20">
        <v>1.0554600000000001</v>
      </c>
      <c r="O24" s="20">
        <v>14.32</v>
      </c>
      <c r="P24" s="20">
        <v>4.22</v>
      </c>
      <c r="Q24" s="20">
        <v>0.79</v>
      </c>
      <c r="R24" s="20">
        <v>3.58</v>
      </c>
      <c r="S24" s="176">
        <v>0.59099999999999997</v>
      </c>
      <c r="T24" s="31" t="s">
        <v>124</v>
      </c>
      <c r="U24" s="270" t="s">
        <v>161</v>
      </c>
      <c r="V24" s="271"/>
    </row>
    <row r="25" spans="3:22" ht="12.75" customHeight="1" x14ac:dyDescent="0.2">
      <c r="C25" s="257"/>
      <c r="D25" s="288"/>
      <c r="E25" s="286"/>
      <c r="F25" s="288"/>
      <c r="G25" s="261"/>
      <c r="H25" s="291"/>
      <c r="I25" s="19" t="s">
        <v>186</v>
      </c>
      <c r="J25" s="18" t="s">
        <v>37</v>
      </c>
      <c r="K25" s="19" t="s">
        <v>93</v>
      </c>
      <c r="L25" s="226" t="s">
        <v>38</v>
      </c>
      <c r="M25" s="20">
        <v>2.6480000000000001</v>
      </c>
      <c r="N25" s="71">
        <v>0.24922</v>
      </c>
      <c r="O25" s="20">
        <v>8.24</v>
      </c>
      <c r="P25" s="20">
        <v>1.99</v>
      </c>
      <c r="Q25" s="20">
        <v>0.19</v>
      </c>
      <c r="R25" s="20">
        <v>2.06</v>
      </c>
      <c r="S25" s="176">
        <v>0.60299999999999998</v>
      </c>
      <c r="T25" s="31" t="s">
        <v>124</v>
      </c>
      <c r="U25" s="270" t="s">
        <v>161</v>
      </c>
      <c r="V25" s="271"/>
    </row>
    <row r="26" spans="3:22" ht="12.75" customHeight="1" x14ac:dyDescent="0.2">
      <c r="C26" s="257"/>
      <c r="D26" s="288"/>
      <c r="E26" s="286"/>
      <c r="F26" s="288"/>
      <c r="G26" s="261"/>
      <c r="H26" s="291"/>
      <c r="I26" s="19" t="s">
        <v>187</v>
      </c>
      <c r="J26" s="289" t="s">
        <v>39</v>
      </c>
      <c r="K26" s="19" t="s">
        <v>94</v>
      </c>
      <c r="L26" s="226" t="s">
        <v>40</v>
      </c>
      <c r="M26" s="20">
        <v>7.33</v>
      </c>
      <c r="N26" s="20">
        <v>1.6174900000000001</v>
      </c>
      <c r="O26" s="20">
        <v>18.28</v>
      </c>
      <c r="P26" s="20">
        <v>5.5</v>
      </c>
      <c r="Q26" s="20">
        <v>1.21</v>
      </c>
      <c r="R26" s="20">
        <v>4.57</v>
      </c>
      <c r="S26" s="176">
        <v>0.58299999999999996</v>
      </c>
      <c r="T26" s="31" t="s">
        <v>124</v>
      </c>
      <c r="U26" s="270" t="s">
        <v>161</v>
      </c>
      <c r="V26" s="271"/>
    </row>
    <row r="27" spans="3:22" ht="12.75" customHeight="1" x14ac:dyDescent="0.2">
      <c r="C27" s="257"/>
      <c r="D27" s="288"/>
      <c r="E27" s="286"/>
      <c r="F27" s="288"/>
      <c r="G27" s="261"/>
      <c r="H27" s="291"/>
      <c r="I27" s="19" t="s">
        <v>187</v>
      </c>
      <c r="J27" s="289"/>
      <c r="K27" s="19" t="s">
        <v>95</v>
      </c>
      <c r="L27" s="226" t="s">
        <v>41</v>
      </c>
      <c r="M27" s="20">
        <v>3.9079999999999999</v>
      </c>
      <c r="N27" s="20">
        <v>0.86240000000000006</v>
      </c>
      <c r="O27" s="20">
        <v>9.74</v>
      </c>
      <c r="P27" s="20">
        <v>2.93</v>
      </c>
      <c r="Q27" s="20">
        <v>0.65</v>
      </c>
      <c r="R27" s="20">
        <v>2.44</v>
      </c>
      <c r="S27" s="176">
        <v>0.58299999999999996</v>
      </c>
      <c r="T27" s="31" t="s">
        <v>124</v>
      </c>
      <c r="U27" s="270" t="s">
        <v>161</v>
      </c>
      <c r="V27" s="271"/>
    </row>
    <row r="28" spans="3:22" ht="12.75" customHeight="1" x14ac:dyDescent="0.2">
      <c r="C28" s="257"/>
      <c r="D28" s="288"/>
      <c r="E28" s="286"/>
      <c r="F28" s="288"/>
      <c r="G28" s="261"/>
      <c r="H28" s="291"/>
      <c r="I28" s="19" t="s">
        <v>187</v>
      </c>
      <c r="J28" s="289"/>
      <c r="K28" s="19" t="s">
        <v>96</v>
      </c>
      <c r="L28" s="226" t="s">
        <v>42</v>
      </c>
      <c r="M28" s="71">
        <v>1.9059999999999999</v>
      </c>
      <c r="N28" s="20">
        <v>0.42069000000000001</v>
      </c>
      <c r="O28" s="71">
        <v>4.75</v>
      </c>
      <c r="P28" s="71">
        <v>1.43</v>
      </c>
      <c r="Q28" s="20">
        <v>0.32</v>
      </c>
      <c r="R28" s="71">
        <v>1.19</v>
      </c>
      <c r="S28" s="21">
        <v>0.57899999999999996</v>
      </c>
      <c r="T28" s="10" t="s">
        <v>124</v>
      </c>
      <c r="U28" s="268" t="s">
        <v>161</v>
      </c>
      <c r="V28" s="269"/>
    </row>
    <row r="29" spans="3:22" ht="12.75" customHeight="1" x14ac:dyDescent="0.2">
      <c r="C29" s="257"/>
      <c r="D29" s="288"/>
      <c r="E29" s="286"/>
      <c r="F29" s="288"/>
      <c r="G29" s="261"/>
      <c r="H29" s="291"/>
      <c r="I29" s="19" t="s">
        <v>187</v>
      </c>
      <c r="J29" s="289"/>
      <c r="K29" s="19" t="s">
        <v>97</v>
      </c>
      <c r="L29" s="226" t="s">
        <v>43</v>
      </c>
      <c r="M29" s="20">
        <v>2.8650000000000002</v>
      </c>
      <c r="N29" s="20">
        <v>0.54068000000000005</v>
      </c>
      <c r="O29" s="20">
        <v>7.98</v>
      </c>
      <c r="P29" s="20">
        <v>2.15</v>
      </c>
      <c r="Q29" s="20">
        <v>0.41</v>
      </c>
      <c r="R29" s="71">
        <v>1.99</v>
      </c>
      <c r="S29" s="21">
        <v>0.59699999999999998</v>
      </c>
      <c r="T29" s="10" t="s">
        <v>124</v>
      </c>
      <c r="U29" s="268" t="s">
        <v>161</v>
      </c>
      <c r="V29" s="269"/>
    </row>
    <row r="30" spans="3:22" x14ac:dyDescent="0.2">
      <c r="C30" s="257"/>
      <c r="D30" s="288"/>
      <c r="E30" s="286"/>
      <c r="F30" s="288"/>
      <c r="G30" s="261"/>
      <c r="H30" s="291"/>
      <c r="I30" s="19" t="s">
        <v>181</v>
      </c>
      <c r="J30" s="283" t="s">
        <v>45</v>
      </c>
      <c r="K30" s="19" t="s">
        <v>102</v>
      </c>
      <c r="L30" s="19" t="s">
        <v>46</v>
      </c>
      <c r="M30" s="20">
        <v>1.9</v>
      </c>
      <c r="N30" s="71">
        <v>1.2999999999999999E-2</v>
      </c>
      <c r="O30" s="20">
        <v>22.6</v>
      </c>
      <c r="P30" s="20">
        <v>1.4253</v>
      </c>
      <c r="Q30" s="23">
        <v>9.7999999999999997E-3</v>
      </c>
      <c r="R30" s="20">
        <v>16.951899999999998</v>
      </c>
      <c r="S30" s="21">
        <v>0.58272000000000002</v>
      </c>
      <c r="T30" s="10" t="s">
        <v>124</v>
      </c>
      <c r="U30" s="268" t="s">
        <v>161</v>
      </c>
      <c r="V30" s="269"/>
    </row>
    <row r="31" spans="3:22" x14ac:dyDescent="0.2">
      <c r="C31" s="257"/>
      <c r="D31" s="288"/>
      <c r="E31" s="286"/>
      <c r="F31" s="288"/>
      <c r="G31" s="261"/>
      <c r="H31" s="291"/>
      <c r="I31" s="19" t="s">
        <v>182</v>
      </c>
      <c r="J31" s="283"/>
      <c r="K31" s="19" t="s">
        <v>103</v>
      </c>
      <c r="L31" s="19" t="s">
        <v>47</v>
      </c>
      <c r="M31" s="20">
        <v>2.8879999999999999</v>
      </c>
      <c r="N31" s="20">
        <v>0.37130000000000002</v>
      </c>
      <c r="O31" s="20">
        <v>8</v>
      </c>
      <c r="P31" s="20">
        <v>2.1663000000000001</v>
      </c>
      <c r="Q31" s="20">
        <v>0.27850000000000003</v>
      </c>
      <c r="R31" s="20">
        <v>5.9988700000000001</v>
      </c>
      <c r="S31" s="21">
        <v>0.62319000000000002</v>
      </c>
      <c r="T31" s="10" t="s">
        <v>124</v>
      </c>
      <c r="U31" s="268" t="s">
        <v>161</v>
      </c>
      <c r="V31" s="269"/>
    </row>
    <row r="32" spans="3:22" x14ac:dyDescent="0.2">
      <c r="C32" s="257"/>
      <c r="D32" s="288"/>
      <c r="E32" s="286"/>
      <c r="F32" s="288"/>
      <c r="G32" s="261"/>
      <c r="H32" s="291"/>
      <c r="I32" s="19" t="s">
        <v>183</v>
      </c>
      <c r="J32" s="283"/>
      <c r="K32" s="19" t="s">
        <v>104</v>
      </c>
      <c r="L32" s="19" t="s">
        <v>48</v>
      </c>
      <c r="M32" s="20">
        <v>3.4409999999999998</v>
      </c>
      <c r="N32" s="20">
        <v>0.44230000000000003</v>
      </c>
      <c r="O32" s="20">
        <v>9.5299999999999994</v>
      </c>
      <c r="P32" s="20">
        <v>2.5808</v>
      </c>
      <c r="Q32" s="20">
        <v>0.33169999999999999</v>
      </c>
      <c r="R32" s="20">
        <v>7.14656</v>
      </c>
      <c r="S32" s="21">
        <v>0.62566999999999995</v>
      </c>
      <c r="T32" s="10" t="s">
        <v>124</v>
      </c>
      <c r="U32" s="268" t="s">
        <v>161</v>
      </c>
      <c r="V32" s="269"/>
    </row>
    <row r="33" spans="3:22" x14ac:dyDescent="0.2">
      <c r="C33" s="257"/>
      <c r="D33" s="288"/>
      <c r="E33" s="286"/>
      <c r="F33" s="288"/>
      <c r="G33" s="261"/>
      <c r="H33" s="291"/>
      <c r="I33" s="19" t="s">
        <v>184</v>
      </c>
      <c r="J33" s="34" t="s">
        <v>49</v>
      </c>
      <c r="K33" s="19" t="s">
        <v>184</v>
      </c>
      <c r="L33" s="19" t="s">
        <v>50</v>
      </c>
      <c r="M33" s="20" t="s">
        <v>113</v>
      </c>
      <c r="N33" s="20" t="s">
        <v>113</v>
      </c>
      <c r="O33" s="20" t="s">
        <v>113</v>
      </c>
      <c r="P33" s="72" t="s">
        <v>59</v>
      </c>
      <c r="Q33" s="55" t="s">
        <v>161</v>
      </c>
      <c r="R33" s="55" t="s">
        <v>161</v>
      </c>
      <c r="S33" s="55" t="s">
        <v>161</v>
      </c>
      <c r="T33" s="10" t="s">
        <v>112</v>
      </c>
      <c r="U33" s="268" t="s">
        <v>161</v>
      </c>
      <c r="V33" s="269"/>
    </row>
    <row r="34" spans="3:22" ht="12.75" customHeight="1" x14ac:dyDescent="0.2">
      <c r="C34" s="257"/>
      <c r="D34" s="288"/>
      <c r="E34" s="286"/>
      <c r="F34" s="288"/>
      <c r="G34" s="261"/>
      <c r="H34" s="291"/>
      <c r="I34" s="19" t="s">
        <v>188</v>
      </c>
      <c r="J34" s="32"/>
      <c r="K34" s="19" t="s">
        <v>98</v>
      </c>
      <c r="L34" s="19" t="s">
        <v>115</v>
      </c>
      <c r="M34" s="76">
        <v>49.621000000000002</v>
      </c>
      <c r="N34" s="76">
        <v>8.3138900000000007</v>
      </c>
      <c r="O34" s="76">
        <v>135.91999999999999</v>
      </c>
      <c r="P34" s="72">
        <v>37.22</v>
      </c>
      <c r="Q34" s="72">
        <v>6.24</v>
      </c>
      <c r="R34" s="72">
        <v>33.979999999999997</v>
      </c>
      <c r="S34" s="56">
        <v>0.57399999999999995</v>
      </c>
      <c r="T34" s="54" t="s">
        <v>124</v>
      </c>
      <c r="U34" s="268" t="s">
        <v>161</v>
      </c>
      <c r="V34" s="269"/>
    </row>
    <row r="35" spans="3:22" x14ac:dyDescent="0.2">
      <c r="C35" s="257"/>
      <c r="D35" s="288"/>
      <c r="E35" s="286"/>
      <c r="F35" s="288"/>
      <c r="G35" s="261"/>
      <c r="H35" s="291"/>
      <c r="I35" s="19"/>
      <c r="J35" s="226" t="s">
        <v>44</v>
      </c>
      <c r="K35" s="19"/>
      <c r="L35" s="19"/>
      <c r="M35" s="55" t="s">
        <v>161</v>
      </c>
      <c r="N35" s="55" t="s">
        <v>161</v>
      </c>
      <c r="O35" s="55" t="s">
        <v>161</v>
      </c>
      <c r="P35" s="55" t="s">
        <v>161</v>
      </c>
      <c r="Q35" s="55" t="s">
        <v>161</v>
      </c>
      <c r="R35" s="55" t="s">
        <v>161</v>
      </c>
      <c r="S35" s="55" t="s">
        <v>161</v>
      </c>
      <c r="T35" s="55" t="s">
        <v>161</v>
      </c>
      <c r="U35" s="268" t="s">
        <v>161</v>
      </c>
      <c r="V35" s="269"/>
    </row>
    <row r="36" spans="3:22" x14ac:dyDescent="0.2">
      <c r="C36" s="257"/>
      <c r="D36" s="288"/>
      <c r="E36" s="287"/>
      <c r="F36" s="259"/>
      <c r="G36" s="278"/>
      <c r="H36" s="291"/>
      <c r="I36" s="19" t="s">
        <v>189</v>
      </c>
      <c r="J36" s="32"/>
      <c r="K36" s="19" t="s">
        <v>189</v>
      </c>
      <c r="L36" s="19" t="s">
        <v>107</v>
      </c>
      <c r="M36" s="20" t="s">
        <v>113</v>
      </c>
      <c r="N36" s="20" t="s">
        <v>113</v>
      </c>
      <c r="O36" s="20" t="s">
        <v>113</v>
      </c>
      <c r="P36" s="20">
        <v>25.23</v>
      </c>
      <c r="Q36" s="55" t="s">
        <v>161</v>
      </c>
      <c r="R36" s="55" t="s">
        <v>161</v>
      </c>
      <c r="S36" s="55" t="s">
        <v>161</v>
      </c>
      <c r="T36" s="10" t="s">
        <v>111</v>
      </c>
      <c r="U36" s="268" t="s">
        <v>161</v>
      </c>
      <c r="V36" s="269"/>
    </row>
    <row r="37" spans="3:22" ht="15" x14ac:dyDescent="0.25">
      <c r="C37" s="257"/>
      <c r="D37" s="259"/>
      <c r="E37" s="10">
        <v>24</v>
      </c>
      <c r="F37" s="10" t="s">
        <v>52</v>
      </c>
      <c r="G37" s="10">
        <v>2403</v>
      </c>
      <c r="H37" s="227" t="s">
        <v>120</v>
      </c>
      <c r="I37" s="18"/>
      <c r="J37" s="18" t="s">
        <v>53</v>
      </c>
      <c r="K37" s="18"/>
      <c r="L37" s="18"/>
      <c r="M37" s="55" t="s">
        <v>161</v>
      </c>
      <c r="N37" s="55" t="s">
        <v>161</v>
      </c>
      <c r="O37" s="55" t="s">
        <v>161</v>
      </c>
      <c r="P37" s="55" t="s">
        <v>161</v>
      </c>
      <c r="Q37" s="55" t="s">
        <v>161</v>
      </c>
      <c r="R37" s="55" t="s">
        <v>161</v>
      </c>
      <c r="S37" s="55" t="s">
        <v>161</v>
      </c>
      <c r="T37" s="55" t="s">
        <v>161</v>
      </c>
      <c r="U37" s="268" t="s">
        <v>161</v>
      </c>
      <c r="V37" s="269"/>
    </row>
    <row r="38" spans="3:22" x14ac:dyDescent="0.2">
      <c r="C38" s="282">
        <v>3</v>
      </c>
      <c r="D38" s="260" t="s">
        <v>54</v>
      </c>
      <c r="E38" s="282">
        <v>37</v>
      </c>
      <c r="F38" s="260" t="s">
        <v>55</v>
      </c>
      <c r="G38" s="282">
        <v>3701</v>
      </c>
      <c r="H38" s="289" t="s">
        <v>56</v>
      </c>
      <c r="I38" s="19"/>
      <c r="J38" s="228" t="s">
        <v>203</v>
      </c>
      <c r="K38" s="228"/>
      <c r="L38" s="228"/>
      <c r="M38" s="55" t="s">
        <v>161</v>
      </c>
      <c r="N38" s="55" t="s">
        <v>161</v>
      </c>
      <c r="O38" s="55" t="s">
        <v>161</v>
      </c>
      <c r="P38" s="55" t="s">
        <v>161</v>
      </c>
      <c r="Q38" s="55" t="s">
        <v>161</v>
      </c>
      <c r="R38" s="55" t="s">
        <v>161</v>
      </c>
      <c r="S38" s="55" t="s">
        <v>161</v>
      </c>
      <c r="T38" s="55" t="s">
        <v>161</v>
      </c>
      <c r="U38" s="268" t="s">
        <v>161</v>
      </c>
      <c r="V38" s="269"/>
    </row>
    <row r="39" spans="3:22" x14ac:dyDescent="0.2">
      <c r="C39" s="282"/>
      <c r="D39" s="278"/>
      <c r="E39" s="282"/>
      <c r="F39" s="278"/>
      <c r="G39" s="282"/>
      <c r="H39" s="289"/>
      <c r="I39" s="19"/>
      <c r="J39" s="228" t="s">
        <v>57</v>
      </c>
      <c r="K39" s="228"/>
      <c r="L39" s="228"/>
      <c r="M39" s="55" t="s">
        <v>161</v>
      </c>
      <c r="N39" s="55" t="s">
        <v>161</v>
      </c>
      <c r="O39" s="55" t="s">
        <v>161</v>
      </c>
      <c r="P39" s="55" t="s">
        <v>161</v>
      </c>
      <c r="Q39" s="55" t="s">
        <v>161</v>
      </c>
      <c r="R39" s="55" t="s">
        <v>161</v>
      </c>
      <c r="S39" s="55" t="s">
        <v>161</v>
      </c>
      <c r="T39" s="55" t="s">
        <v>161</v>
      </c>
      <c r="U39" s="268" t="s">
        <v>161</v>
      </c>
      <c r="V39" s="269"/>
    </row>
    <row r="40" spans="3:22" x14ac:dyDescent="0.2">
      <c r="C40" s="15" t="s">
        <v>192</v>
      </c>
      <c r="R40" s="15"/>
    </row>
    <row r="41" spans="3:22" x14ac:dyDescent="0.2">
      <c r="C41" s="15" t="s">
        <v>114</v>
      </c>
    </row>
    <row r="42" spans="3:22" x14ac:dyDescent="0.2">
      <c r="C42" s="15" t="s">
        <v>65</v>
      </c>
    </row>
    <row r="43" spans="3:22" x14ac:dyDescent="0.2">
      <c r="C43" s="15" t="s">
        <v>66</v>
      </c>
    </row>
    <row r="44" spans="3:22" x14ac:dyDescent="0.2">
      <c r="C44" s="15" t="s">
        <v>69</v>
      </c>
    </row>
    <row r="45" spans="3:22" x14ac:dyDescent="0.2">
      <c r="C45" s="15" t="s">
        <v>70</v>
      </c>
    </row>
    <row r="46" spans="3:22" x14ac:dyDescent="0.2">
      <c r="C46" s="15" t="s">
        <v>71</v>
      </c>
    </row>
    <row r="47" spans="3:22" x14ac:dyDescent="0.2">
      <c r="C47" s="15" t="s">
        <v>75</v>
      </c>
    </row>
    <row r="48" spans="3:22" x14ac:dyDescent="0.2">
      <c r="C48" s="15" t="s">
        <v>76</v>
      </c>
    </row>
    <row r="49" spans="3:22" x14ac:dyDescent="0.2">
      <c r="C49" s="15" t="s">
        <v>89</v>
      </c>
    </row>
    <row r="50" spans="3:22" x14ac:dyDescent="0.2">
      <c r="C50" s="15" t="s">
        <v>90</v>
      </c>
    </row>
    <row r="51" spans="3:22" x14ac:dyDescent="0.2">
      <c r="C51" s="15" t="s">
        <v>91</v>
      </c>
    </row>
    <row r="52" spans="3:22" x14ac:dyDescent="0.2">
      <c r="C52" s="15" t="s">
        <v>99</v>
      </c>
    </row>
    <row r="53" spans="3:22" x14ac:dyDescent="0.2">
      <c r="C53" s="15" t="s">
        <v>100</v>
      </c>
    </row>
    <row r="54" spans="3:22" x14ac:dyDescent="0.2">
      <c r="C54" s="15" t="s">
        <v>101</v>
      </c>
    </row>
    <row r="55" spans="3:22" x14ac:dyDescent="0.2">
      <c r="C55" s="15" t="s">
        <v>105</v>
      </c>
    </row>
    <row r="56" spans="3:22" x14ac:dyDescent="0.2">
      <c r="C56" s="15" t="s">
        <v>106</v>
      </c>
    </row>
    <row r="57" spans="3:22" x14ac:dyDescent="0.2">
      <c r="C57" s="15" t="s">
        <v>110</v>
      </c>
    </row>
    <row r="58" spans="3:22" x14ac:dyDescent="0.2">
      <c r="C58" s="15" t="s">
        <v>116</v>
      </c>
    </row>
    <row r="60" spans="3:22" ht="13.5" thickBot="1" x14ac:dyDescent="0.25"/>
    <row r="61" spans="3:22" ht="13.5" thickBot="1" x14ac:dyDescent="0.25">
      <c r="M61" s="253" t="s">
        <v>179</v>
      </c>
      <c r="N61" s="254"/>
      <c r="O61" s="254"/>
      <c r="P61" s="255"/>
      <c r="Q61" s="247" t="s">
        <v>180</v>
      </c>
      <c r="R61" s="248"/>
      <c r="S61" s="248"/>
      <c r="T61" s="249"/>
    </row>
    <row r="62" spans="3:22" ht="127.5" x14ac:dyDescent="0.2">
      <c r="L62" s="113" t="s">
        <v>204</v>
      </c>
      <c r="M62" s="100" t="s">
        <v>211</v>
      </c>
      <c r="N62" s="80" t="s">
        <v>200</v>
      </c>
      <c r="O62" s="81" t="s">
        <v>210</v>
      </c>
      <c r="P62" s="101" t="s">
        <v>202</v>
      </c>
      <c r="Q62" s="100" t="s">
        <v>211</v>
      </c>
      <c r="R62" s="80" t="s">
        <v>200</v>
      </c>
      <c r="S62" s="81" t="s">
        <v>210</v>
      </c>
      <c r="T62" s="128" t="s">
        <v>202</v>
      </c>
      <c r="U62" s="132" t="s">
        <v>209</v>
      </c>
      <c r="V62" s="133" t="s">
        <v>207</v>
      </c>
    </row>
    <row r="63" spans="3:22" x14ac:dyDescent="0.2">
      <c r="L63" s="114" t="s">
        <v>7</v>
      </c>
      <c r="M63" s="119">
        <f>M5-N5</f>
        <v>2.5</v>
      </c>
      <c r="N63" s="56">
        <f>M63*100/M5</f>
        <v>61.881188118811878</v>
      </c>
      <c r="O63" s="56">
        <f>O5-M5</f>
        <v>3.1900000000000004</v>
      </c>
      <c r="P63" s="120">
        <f>O63*100/O5</f>
        <v>44.121715076071929</v>
      </c>
      <c r="Q63" s="119">
        <f>P5-Q5</f>
        <v>1.63</v>
      </c>
      <c r="R63" s="56">
        <f>Q63*100/P5</f>
        <v>61.977186311787072</v>
      </c>
      <c r="S63" s="56"/>
      <c r="T63" s="129"/>
      <c r="U63" s="119">
        <f>M5-P5</f>
        <v>1.4100000000000001</v>
      </c>
      <c r="V63" s="120">
        <f>P5*100/M5</f>
        <v>65.099009900990097</v>
      </c>
    </row>
    <row r="64" spans="3:22" x14ac:dyDescent="0.2">
      <c r="L64" s="114" t="s">
        <v>8</v>
      </c>
      <c r="M64" s="119">
        <f t="shared" ref="M64:M92" si="0">M6-N6</f>
        <v>2.91</v>
      </c>
      <c r="N64" s="56">
        <f t="shared" ref="N64:N92" si="1">M64*100/M6</f>
        <v>61.914893617021278</v>
      </c>
      <c r="O64" s="56">
        <f t="shared" ref="O64:O92" si="2">O6-M6</f>
        <v>3.71</v>
      </c>
      <c r="P64" s="121">
        <f t="shared" ref="P64:P92" si="3">O64*100/O6</f>
        <v>44.1141498216409</v>
      </c>
      <c r="Q64" s="119">
        <f t="shared" ref="Q64:Q92" si="4">P6-Q6</f>
        <v>1.8900000000000001</v>
      </c>
      <c r="R64" s="71">
        <f t="shared" ref="R64:R92" si="5">Q64*100/P6</f>
        <v>61.764705882352942</v>
      </c>
      <c r="S64" s="56"/>
      <c r="T64" s="129"/>
      <c r="U64" s="119">
        <f t="shared" ref="U64:U92" si="6">M6-P6</f>
        <v>1.6400000000000001</v>
      </c>
      <c r="V64" s="120">
        <f t="shared" ref="V64:V92" si="7">P6*100/M6</f>
        <v>65.106382978723403</v>
      </c>
    </row>
    <row r="65" spans="12:22" x14ac:dyDescent="0.2">
      <c r="L65" s="114" t="s">
        <v>11</v>
      </c>
      <c r="M65" s="119">
        <f t="shared" si="0"/>
        <v>11.11</v>
      </c>
      <c r="N65" s="56">
        <f t="shared" si="1"/>
        <v>73.284960422163593</v>
      </c>
      <c r="O65" s="56"/>
      <c r="P65" s="120"/>
      <c r="Q65" s="119">
        <f t="shared" si="4"/>
        <v>6.85785</v>
      </c>
      <c r="R65" s="56">
        <f t="shared" si="5"/>
        <v>95.696360444639183</v>
      </c>
      <c r="S65" s="56"/>
      <c r="T65" s="129"/>
      <c r="U65" s="119">
        <f t="shared" si="6"/>
        <v>7.9937399999999998</v>
      </c>
      <c r="V65" s="120">
        <f t="shared" si="7"/>
        <v>47.270844327176782</v>
      </c>
    </row>
    <row r="66" spans="12:22" x14ac:dyDescent="0.2">
      <c r="L66" s="114" t="s">
        <v>12</v>
      </c>
      <c r="M66" s="119">
        <f t="shared" si="0"/>
        <v>0.96000000000000008</v>
      </c>
      <c r="N66" s="56">
        <f t="shared" si="1"/>
        <v>52.459016393442631</v>
      </c>
      <c r="O66" s="56"/>
      <c r="P66" s="120"/>
      <c r="Q66" s="119">
        <f t="shared" si="4"/>
        <v>0.68857999999999986</v>
      </c>
      <c r="R66" s="56">
        <f t="shared" si="5"/>
        <v>88.742541208614185</v>
      </c>
      <c r="S66" s="56"/>
      <c r="T66" s="129"/>
      <c r="U66" s="119">
        <f t="shared" si="6"/>
        <v>1.0540700000000003</v>
      </c>
      <c r="V66" s="120">
        <f t="shared" si="7"/>
        <v>42.400546448087425</v>
      </c>
    </row>
    <row r="67" spans="12:22" x14ac:dyDescent="0.2">
      <c r="L67" s="114" t="s">
        <v>13</v>
      </c>
      <c r="M67" s="119">
        <f t="shared" si="0"/>
        <v>12.129999999999999</v>
      </c>
      <c r="N67" s="56">
        <f t="shared" si="1"/>
        <v>76.529968454258679</v>
      </c>
      <c r="O67" s="56"/>
      <c r="P67" s="120"/>
      <c r="Q67" s="119">
        <f t="shared" si="4"/>
        <v>5.8641399999999999</v>
      </c>
      <c r="R67" s="56">
        <f t="shared" si="5"/>
        <v>84.873879037347095</v>
      </c>
      <c r="S67" s="56"/>
      <c r="T67" s="129"/>
      <c r="U67" s="119">
        <f t="shared" si="6"/>
        <v>8.9407600000000009</v>
      </c>
      <c r="V67" s="120">
        <f t="shared" si="7"/>
        <v>43.591419558359618</v>
      </c>
    </row>
    <row r="68" spans="12:22" x14ac:dyDescent="0.2">
      <c r="L68" s="114" t="s">
        <v>14</v>
      </c>
      <c r="M68" s="119">
        <f t="shared" si="0"/>
        <v>2.5100000000000002</v>
      </c>
      <c r="N68" s="71">
        <f t="shared" si="1"/>
        <v>52.400835073068897</v>
      </c>
      <c r="O68" s="56"/>
      <c r="P68" s="120"/>
      <c r="Q68" s="119">
        <f t="shared" si="4"/>
        <v>1.76674</v>
      </c>
      <c r="R68" s="56">
        <f t="shared" si="5"/>
        <v>91.988482825768898</v>
      </c>
      <c r="S68" s="56"/>
      <c r="T68" s="129"/>
      <c r="U68" s="119">
        <f t="shared" si="6"/>
        <v>2.8693900000000001</v>
      </c>
      <c r="V68" s="120">
        <f t="shared" si="7"/>
        <v>40.096242171189978</v>
      </c>
    </row>
    <row r="69" spans="12:22" x14ac:dyDescent="0.2">
      <c r="L69" s="114" t="s">
        <v>15</v>
      </c>
      <c r="M69" s="119">
        <f t="shared" si="0"/>
        <v>9.1900000000000013</v>
      </c>
      <c r="N69" s="56">
        <f t="shared" si="1"/>
        <v>52.424415288077583</v>
      </c>
      <c r="O69" s="56"/>
      <c r="P69" s="120"/>
      <c r="Q69" s="119">
        <f t="shared" si="4"/>
        <v>6.3137100000000004</v>
      </c>
      <c r="R69" s="56">
        <f t="shared" si="5"/>
        <v>93.237669512362615</v>
      </c>
      <c r="S69" s="56"/>
      <c r="T69" s="129"/>
      <c r="U69" s="119">
        <f t="shared" si="6"/>
        <v>10.758370000000001</v>
      </c>
      <c r="V69" s="120">
        <f t="shared" si="7"/>
        <v>38.628807758128922</v>
      </c>
    </row>
    <row r="70" spans="12:22" x14ac:dyDescent="0.2">
      <c r="L70" s="114" t="s">
        <v>16</v>
      </c>
      <c r="M70" s="119">
        <f t="shared" si="0"/>
        <v>6.5500000000000007</v>
      </c>
      <c r="N70" s="56">
        <f t="shared" si="1"/>
        <v>76.51869158878506</v>
      </c>
      <c r="O70" s="56"/>
      <c r="P70" s="120"/>
      <c r="Q70" s="119">
        <f t="shared" si="4"/>
        <v>3.2222199999999996</v>
      </c>
      <c r="R70" s="56">
        <f t="shared" si="5"/>
        <v>82.478485898728863</v>
      </c>
      <c r="S70" s="56"/>
      <c r="T70" s="129"/>
      <c r="U70" s="119">
        <f t="shared" si="6"/>
        <v>4.6532600000000013</v>
      </c>
      <c r="V70" s="120">
        <f t="shared" si="7"/>
        <v>45.639485981308404</v>
      </c>
    </row>
    <row r="71" spans="12:22" x14ac:dyDescent="0.2">
      <c r="L71" s="114" t="s">
        <v>17</v>
      </c>
      <c r="M71" s="119">
        <f t="shared" si="0"/>
        <v>3.9400000000000004</v>
      </c>
      <c r="N71" s="56">
        <f t="shared" si="1"/>
        <v>76.504854368932044</v>
      </c>
      <c r="O71" s="56"/>
      <c r="P71" s="120"/>
      <c r="Q71" s="119">
        <f t="shared" si="4"/>
        <v>1.9111500000000003</v>
      </c>
      <c r="R71" s="56">
        <f t="shared" si="5"/>
        <v>82.892733684078124</v>
      </c>
      <c r="S71" s="56"/>
      <c r="T71" s="129"/>
      <c r="U71" s="119">
        <f t="shared" si="6"/>
        <v>2.84443</v>
      </c>
      <c r="V71" s="120">
        <f t="shared" si="7"/>
        <v>44.768349514563113</v>
      </c>
    </row>
    <row r="72" spans="12:22" x14ac:dyDescent="0.2">
      <c r="L72" s="114" t="s">
        <v>18</v>
      </c>
      <c r="M72" s="119">
        <f t="shared" si="0"/>
        <v>3.5100000000000002</v>
      </c>
      <c r="N72" s="56">
        <f t="shared" si="1"/>
        <v>52.46636771300448</v>
      </c>
      <c r="O72" s="56"/>
      <c r="P72" s="120"/>
      <c r="Q72" s="119">
        <f t="shared" si="4"/>
        <v>2.5864199999999999</v>
      </c>
      <c r="R72" s="56">
        <f t="shared" si="5"/>
        <v>98.761670198751361</v>
      </c>
      <c r="S72" s="56"/>
      <c r="T72" s="129"/>
      <c r="U72" s="119">
        <f t="shared" si="6"/>
        <v>4.0711500000000003</v>
      </c>
      <c r="V72" s="120">
        <f t="shared" si="7"/>
        <v>39.1457399103139</v>
      </c>
    </row>
    <row r="73" spans="12:22" x14ac:dyDescent="0.2">
      <c r="L73" s="114" t="s">
        <v>19</v>
      </c>
      <c r="M73" s="119">
        <f t="shared" si="0"/>
        <v>5.169999999999999</v>
      </c>
      <c r="N73" s="56">
        <f t="shared" si="1"/>
        <v>52.380952380952372</v>
      </c>
      <c r="O73" s="56"/>
      <c r="P73" s="120"/>
      <c r="Q73" s="119">
        <f t="shared" si="4"/>
        <v>3.5697900000000002</v>
      </c>
      <c r="R73" s="56">
        <f t="shared" si="5"/>
        <v>95.608448320191982</v>
      </c>
      <c r="S73" s="56"/>
      <c r="T73" s="129"/>
      <c r="U73" s="119">
        <f t="shared" si="6"/>
        <v>6.136239999999999</v>
      </c>
      <c r="V73" s="121">
        <f t="shared" si="7"/>
        <v>37.829381965552187</v>
      </c>
    </row>
    <row r="74" spans="12:22" x14ac:dyDescent="0.2">
      <c r="L74" s="114" t="s">
        <v>20</v>
      </c>
      <c r="M74" s="119">
        <f t="shared" si="0"/>
        <v>2.21</v>
      </c>
      <c r="N74" s="56">
        <f t="shared" si="1"/>
        <v>52.494061757719713</v>
      </c>
      <c r="O74" s="56"/>
      <c r="P74" s="120"/>
      <c r="Q74" s="119">
        <f t="shared" si="4"/>
        <v>1.6946099999999999</v>
      </c>
      <c r="R74" s="56">
        <f t="shared" si="5"/>
        <v>99.789774935519191</v>
      </c>
      <c r="S74" s="56"/>
      <c r="T74" s="129"/>
      <c r="U74" s="119">
        <f t="shared" si="6"/>
        <v>2.5118200000000002</v>
      </c>
      <c r="V74" s="120">
        <f t="shared" si="7"/>
        <v>40.336817102137772</v>
      </c>
    </row>
    <row r="75" spans="12:22" x14ac:dyDescent="0.2">
      <c r="L75" s="115" t="s">
        <v>22</v>
      </c>
      <c r="M75" s="119"/>
      <c r="N75" s="56"/>
      <c r="O75" s="56"/>
      <c r="P75" s="120"/>
      <c r="Q75" s="119"/>
      <c r="R75" s="56"/>
      <c r="S75" s="56"/>
      <c r="T75" s="129"/>
      <c r="U75" s="134"/>
      <c r="V75" s="120"/>
    </row>
    <row r="76" spans="12:22" x14ac:dyDescent="0.2">
      <c r="L76" s="116" t="s">
        <v>25</v>
      </c>
      <c r="M76" s="119"/>
      <c r="N76" s="56"/>
      <c r="O76" s="56"/>
      <c r="P76" s="120"/>
      <c r="Q76" s="119"/>
      <c r="R76" s="56"/>
      <c r="S76" s="56"/>
      <c r="T76" s="129"/>
      <c r="U76" s="134"/>
      <c r="V76" s="120"/>
    </row>
    <row r="77" spans="12:22" x14ac:dyDescent="0.2">
      <c r="L77" s="111" t="s">
        <v>27</v>
      </c>
      <c r="M77" s="119"/>
      <c r="N77" s="56"/>
      <c r="O77" s="56"/>
      <c r="P77" s="120"/>
      <c r="Q77" s="119"/>
      <c r="R77" s="56"/>
      <c r="S77" s="56"/>
      <c r="T77" s="129"/>
      <c r="U77" s="134"/>
      <c r="V77" s="120"/>
    </row>
    <row r="78" spans="12:22" x14ac:dyDescent="0.2">
      <c r="L78" s="111" t="s">
        <v>28</v>
      </c>
      <c r="M78" s="119"/>
      <c r="N78" s="56"/>
      <c r="O78" s="56"/>
      <c r="P78" s="120"/>
      <c r="Q78" s="119"/>
      <c r="R78" s="56"/>
      <c r="S78" s="56"/>
      <c r="T78" s="129"/>
      <c r="U78" s="134"/>
      <c r="V78" s="120"/>
    </row>
    <row r="79" spans="12:22" x14ac:dyDescent="0.2">
      <c r="L79" s="111" t="s">
        <v>29</v>
      </c>
      <c r="M79" s="119"/>
      <c r="N79" s="56"/>
      <c r="O79" s="56"/>
      <c r="P79" s="120"/>
      <c r="Q79" s="119"/>
      <c r="R79" s="56"/>
      <c r="S79" s="56"/>
      <c r="T79" s="129"/>
      <c r="U79" s="134"/>
      <c r="V79" s="120"/>
    </row>
    <row r="80" spans="12:22" x14ac:dyDescent="0.2">
      <c r="L80" s="111" t="s">
        <v>30</v>
      </c>
      <c r="M80" s="119"/>
      <c r="N80" s="56"/>
      <c r="O80" s="56"/>
      <c r="P80" s="120"/>
      <c r="Q80" s="119"/>
      <c r="R80" s="56"/>
      <c r="S80" s="56"/>
      <c r="T80" s="129"/>
      <c r="U80" s="134"/>
      <c r="V80" s="120"/>
    </row>
    <row r="81" spans="12:22" x14ac:dyDescent="0.2">
      <c r="L81" s="111" t="s">
        <v>31</v>
      </c>
      <c r="M81" s="119"/>
      <c r="N81" s="56"/>
      <c r="O81" s="56"/>
      <c r="P81" s="120"/>
      <c r="Q81" s="119"/>
      <c r="R81" s="56"/>
      <c r="S81" s="56"/>
      <c r="T81" s="129"/>
      <c r="U81" s="134"/>
      <c r="V81" s="120"/>
    </row>
    <row r="82" spans="12:22" x14ac:dyDescent="0.2">
      <c r="L82" s="114" t="s">
        <v>36</v>
      </c>
      <c r="M82" s="119">
        <f t="shared" si="0"/>
        <v>4.5775399999999999</v>
      </c>
      <c r="N82" s="56">
        <f t="shared" si="1"/>
        <v>81.262914965382564</v>
      </c>
      <c r="O82" s="56">
        <f t="shared" si="2"/>
        <v>8.6870000000000012</v>
      </c>
      <c r="P82" s="120">
        <f t="shared" si="3"/>
        <v>60.663407821229058</v>
      </c>
      <c r="Q82" s="119">
        <f t="shared" si="4"/>
        <v>3.4299999999999997</v>
      </c>
      <c r="R82" s="56">
        <f t="shared" si="5"/>
        <v>81.279620853080573</v>
      </c>
      <c r="S82" s="56">
        <f>R24-P24</f>
        <v>-0.63999999999999968</v>
      </c>
      <c r="T82" s="129">
        <f t="shared" ref="T82:T92" si="8">S82*100/R24</f>
        <v>-17.877094972067031</v>
      </c>
      <c r="U82" s="134">
        <f t="shared" si="6"/>
        <v>1.4130000000000003</v>
      </c>
      <c r="V82" s="120">
        <f t="shared" si="7"/>
        <v>74.915675483756431</v>
      </c>
    </row>
    <row r="83" spans="12:22" x14ac:dyDescent="0.2">
      <c r="L83" s="114" t="s">
        <v>38</v>
      </c>
      <c r="M83" s="119">
        <f t="shared" si="0"/>
        <v>2.3987800000000004</v>
      </c>
      <c r="N83" s="56">
        <f t="shared" si="1"/>
        <v>90.588368580060433</v>
      </c>
      <c r="O83" s="56">
        <f t="shared" si="2"/>
        <v>5.5920000000000005</v>
      </c>
      <c r="P83" s="120">
        <f t="shared" si="3"/>
        <v>67.864077669902912</v>
      </c>
      <c r="Q83" s="119">
        <f t="shared" si="4"/>
        <v>1.8</v>
      </c>
      <c r="R83" s="56">
        <f t="shared" si="5"/>
        <v>90.452261306532662</v>
      </c>
      <c r="S83" s="127">
        <f t="shared" ref="S83:S92" si="9">R25-P25</f>
        <v>7.0000000000000062E-2</v>
      </c>
      <c r="T83" s="130">
        <f t="shared" si="8"/>
        <v>3.3980582524271874</v>
      </c>
      <c r="U83" s="134">
        <f t="shared" si="6"/>
        <v>0.65800000000000014</v>
      </c>
      <c r="V83" s="122">
        <f t="shared" si="7"/>
        <v>75.151057401812679</v>
      </c>
    </row>
    <row r="84" spans="12:22" x14ac:dyDescent="0.2">
      <c r="L84" s="114" t="s">
        <v>40</v>
      </c>
      <c r="M84" s="119">
        <f t="shared" si="0"/>
        <v>5.71251</v>
      </c>
      <c r="N84" s="56">
        <f t="shared" si="1"/>
        <v>77.933287858117325</v>
      </c>
      <c r="O84" s="56">
        <f t="shared" si="2"/>
        <v>10.950000000000001</v>
      </c>
      <c r="P84" s="120">
        <f t="shared" si="3"/>
        <v>59.901531728665205</v>
      </c>
      <c r="Q84" s="119">
        <f t="shared" si="4"/>
        <v>4.29</v>
      </c>
      <c r="R84" s="56">
        <f t="shared" si="5"/>
        <v>78</v>
      </c>
      <c r="S84" s="56">
        <f t="shared" si="9"/>
        <v>-0.92999999999999972</v>
      </c>
      <c r="T84" s="129">
        <f t="shared" si="8"/>
        <v>-20.350109409190363</v>
      </c>
      <c r="U84" s="134">
        <f t="shared" si="6"/>
        <v>1.83</v>
      </c>
      <c r="V84" s="120">
        <f t="shared" si="7"/>
        <v>75.034106412005457</v>
      </c>
    </row>
    <row r="85" spans="12:22" x14ac:dyDescent="0.2">
      <c r="L85" s="114" t="s">
        <v>41</v>
      </c>
      <c r="M85" s="119">
        <f t="shared" si="0"/>
        <v>3.0455999999999999</v>
      </c>
      <c r="N85" s="56">
        <f t="shared" si="1"/>
        <v>77.932446264073704</v>
      </c>
      <c r="O85" s="56">
        <f t="shared" si="2"/>
        <v>5.8320000000000007</v>
      </c>
      <c r="P85" s="120">
        <f t="shared" si="3"/>
        <v>59.876796714579058</v>
      </c>
      <c r="Q85" s="119">
        <f t="shared" si="4"/>
        <v>2.2800000000000002</v>
      </c>
      <c r="R85" s="56">
        <f t="shared" si="5"/>
        <v>77.815699658703082</v>
      </c>
      <c r="S85" s="56">
        <f t="shared" si="9"/>
        <v>-0.49000000000000021</v>
      </c>
      <c r="T85" s="129">
        <f t="shared" si="8"/>
        <v>-20.081967213114762</v>
      </c>
      <c r="U85" s="134">
        <f t="shared" si="6"/>
        <v>0.97799999999999976</v>
      </c>
      <c r="V85" s="120">
        <f t="shared" si="7"/>
        <v>74.974411463664282</v>
      </c>
    </row>
    <row r="86" spans="12:22" x14ac:dyDescent="0.2">
      <c r="L86" s="114" t="s">
        <v>42</v>
      </c>
      <c r="M86" s="119">
        <f t="shared" si="0"/>
        <v>1.4853099999999999</v>
      </c>
      <c r="N86" s="56">
        <f t="shared" si="1"/>
        <v>77.928121720881421</v>
      </c>
      <c r="O86" s="56">
        <f t="shared" si="2"/>
        <v>2.8440000000000003</v>
      </c>
      <c r="P86" s="120">
        <f t="shared" si="3"/>
        <v>59.873684210526321</v>
      </c>
      <c r="Q86" s="119">
        <f t="shared" si="4"/>
        <v>1.1099999999999999</v>
      </c>
      <c r="R86" s="56">
        <f t="shared" si="5"/>
        <v>77.622377622377613</v>
      </c>
      <c r="S86" s="56">
        <f t="shared" si="9"/>
        <v>-0.24</v>
      </c>
      <c r="T86" s="129">
        <f t="shared" si="8"/>
        <v>-20.168067226890756</v>
      </c>
      <c r="U86" s="134">
        <f t="shared" si="6"/>
        <v>0.47599999999999998</v>
      </c>
      <c r="V86" s="120">
        <f t="shared" si="7"/>
        <v>75.026232948583427</v>
      </c>
    </row>
    <row r="87" spans="12:22" x14ac:dyDescent="0.2">
      <c r="L87" s="114" t="s">
        <v>43</v>
      </c>
      <c r="M87" s="119">
        <f t="shared" si="0"/>
        <v>2.3243200000000002</v>
      </c>
      <c r="N87" s="56">
        <f t="shared" si="1"/>
        <v>81.128097731239095</v>
      </c>
      <c r="O87" s="56">
        <f t="shared" si="2"/>
        <v>5.1150000000000002</v>
      </c>
      <c r="P87" s="120">
        <f t="shared" si="3"/>
        <v>64.097744360902254</v>
      </c>
      <c r="Q87" s="119">
        <f t="shared" si="4"/>
        <v>1.74</v>
      </c>
      <c r="R87" s="56">
        <f t="shared" si="5"/>
        <v>80.930232558139537</v>
      </c>
      <c r="S87" s="56">
        <f t="shared" si="9"/>
        <v>-0.15999999999999992</v>
      </c>
      <c r="T87" s="129">
        <f t="shared" si="8"/>
        <v>-8.0402010050251214</v>
      </c>
      <c r="U87" s="134">
        <f t="shared" si="6"/>
        <v>0.7150000000000003</v>
      </c>
      <c r="V87" s="120">
        <f t="shared" si="7"/>
        <v>75.043630017452003</v>
      </c>
    </row>
    <row r="88" spans="12:22" x14ac:dyDescent="0.2">
      <c r="L88" s="111" t="s">
        <v>46</v>
      </c>
      <c r="M88" s="119">
        <f t="shared" si="0"/>
        <v>1.887</v>
      </c>
      <c r="N88" s="72">
        <f t="shared" si="1"/>
        <v>99.315789473684205</v>
      </c>
      <c r="O88" s="56">
        <f t="shared" si="2"/>
        <v>20.700000000000003</v>
      </c>
      <c r="P88" s="122">
        <f t="shared" si="3"/>
        <v>91.592920353982322</v>
      </c>
      <c r="Q88" s="119">
        <f t="shared" si="4"/>
        <v>1.4155</v>
      </c>
      <c r="R88" s="72">
        <f t="shared" si="5"/>
        <v>99.312425454290334</v>
      </c>
      <c r="S88" s="127">
        <f t="shared" si="9"/>
        <v>15.526599999999998</v>
      </c>
      <c r="T88" s="130">
        <f t="shared" si="8"/>
        <v>91.59209292173739</v>
      </c>
      <c r="U88" s="134">
        <f t="shared" si="6"/>
        <v>0.4746999999999999</v>
      </c>
      <c r="V88" s="120">
        <f t="shared" si="7"/>
        <v>75.015789473684208</v>
      </c>
    </row>
    <row r="89" spans="12:22" x14ac:dyDescent="0.2">
      <c r="L89" s="111" t="s">
        <v>47</v>
      </c>
      <c r="M89" s="119">
        <f t="shared" si="0"/>
        <v>2.5166999999999997</v>
      </c>
      <c r="N89" s="56">
        <f t="shared" si="1"/>
        <v>87.143351800554001</v>
      </c>
      <c r="O89" s="56">
        <f t="shared" si="2"/>
        <v>5.1120000000000001</v>
      </c>
      <c r="P89" s="120">
        <f t="shared" si="3"/>
        <v>63.9</v>
      </c>
      <c r="Q89" s="119">
        <f t="shared" si="4"/>
        <v>1.8878000000000001</v>
      </c>
      <c r="R89" s="56">
        <f t="shared" si="5"/>
        <v>87.143978211697359</v>
      </c>
      <c r="S89" s="127">
        <f t="shared" si="9"/>
        <v>3.83257</v>
      </c>
      <c r="T89" s="130">
        <f t="shared" si="8"/>
        <v>63.88819894413448</v>
      </c>
      <c r="U89" s="134">
        <f t="shared" si="6"/>
        <v>0.72169999999999979</v>
      </c>
      <c r="V89" s="120">
        <f t="shared" si="7"/>
        <v>75.010387811634359</v>
      </c>
    </row>
    <row r="90" spans="12:22" x14ac:dyDescent="0.2">
      <c r="L90" s="111" t="s">
        <v>48</v>
      </c>
      <c r="M90" s="119">
        <f t="shared" si="0"/>
        <v>2.9986999999999999</v>
      </c>
      <c r="N90" s="56">
        <f t="shared" si="1"/>
        <v>87.146178436501017</v>
      </c>
      <c r="O90" s="56">
        <f t="shared" si="2"/>
        <v>6.0889999999999995</v>
      </c>
      <c r="P90" s="120">
        <f t="shared" si="3"/>
        <v>63.892969569779645</v>
      </c>
      <c r="Q90" s="119">
        <f t="shared" si="4"/>
        <v>2.2490999999999999</v>
      </c>
      <c r="R90" s="56">
        <f t="shared" si="5"/>
        <v>87.147396156230627</v>
      </c>
      <c r="S90" s="127">
        <f t="shared" si="9"/>
        <v>4.56576</v>
      </c>
      <c r="T90" s="130">
        <f t="shared" si="8"/>
        <v>63.887520709264322</v>
      </c>
      <c r="U90" s="134">
        <f t="shared" si="6"/>
        <v>0.86019999999999985</v>
      </c>
      <c r="V90" s="120">
        <f t="shared" si="7"/>
        <v>75.001453065969187</v>
      </c>
    </row>
    <row r="91" spans="12:22" x14ac:dyDescent="0.2">
      <c r="L91" s="111" t="s">
        <v>50</v>
      </c>
      <c r="M91" s="119"/>
      <c r="N91" s="56"/>
      <c r="O91" s="56"/>
      <c r="P91" s="120"/>
      <c r="Q91" s="119"/>
      <c r="R91" s="56"/>
      <c r="S91" s="56"/>
      <c r="T91" s="129"/>
      <c r="U91" s="134"/>
      <c r="V91" s="120"/>
    </row>
    <row r="92" spans="12:22" x14ac:dyDescent="0.2">
      <c r="L92" s="111" t="s">
        <v>115</v>
      </c>
      <c r="M92" s="119">
        <f t="shared" si="0"/>
        <v>41.307110000000002</v>
      </c>
      <c r="N92" s="56">
        <f t="shared" si="1"/>
        <v>83.245218758187065</v>
      </c>
      <c r="O92" s="56">
        <f t="shared" si="2"/>
        <v>86.298999999999978</v>
      </c>
      <c r="P92" s="120">
        <f t="shared" si="3"/>
        <v>63.492495585638601</v>
      </c>
      <c r="Q92" s="119">
        <f t="shared" si="4"/>
        <v>30.979999999999997</v>
      </c>
      <c r="R92" s="56">
        <f t="shared" si="5"/>
        <v>83.234819989253083</v>
      </c>
      <c r="S92" s="56">
        <f t="shared" si="9"/>
        <v>-3.240000000000002</v>
      </c>
      <c r="T92" s="129">
        <f t="shared" si="8"/>
        <v>-9.5350206003531568</v>
      </c>
      <c r="U92" s="134">
        <f t="shared" si="6"/>
        <v>12.401000000000003</v>
      </c>
      <c r="V92" s="120">
        <f t="shared" si="7"/>
        <v>75.008564922109585</v>
      </c>
    </row>
    <row r="93" spans="12:22" x14ac:dyDescent="0.2">
      <c r="L93" s="117" t="s">
        <v>44</v>
      </c>
      <c r="M93" s="119"/>
      <c r="N93" s="56"/>
      <c r="O93" s="56"/>
      <c r="P93" s="120"/>
      <c r="Q93" s="119"/>
      <c r="R93" s="56"/>
      <c r="S93" s="56"/>
      <c r="T93" s="129"/>
      <c r="U93" s="134"/>
      <c r="V93" s="120"/>
    </row>
    <row r="94" spans="12:22" x14ac:dyDescent="0.2">
      <c r="L94" s="111" t="s">
        <v>107</v>
      </c>
      <c r="M94" s="119"/>
      <c r="N94" s="56"/>
      <c r="O94" s="56"/>
      <c r="P94" s="120"/>
      <c r="Q94" s="119"/>
      <c r="R94" s="56"/>
      <c r="S94" s="56"/>
      <c r="T94" s="129"/>
      <c r="U94" s="134"/>
      <c r="V94" s="120"/>
    </row>
    <row r="95" spans="12:22" x14ac:dyDescent="0.2">
      <c r="L95" s="115" t="s">
        <v>53</v>
      </c>
      <c r="M95" s="119"/>
      <c r="N95" s="56"/>
      <c r="O95" s="56"/>
      <c r="P95" s="120"/>
      <c r="Q95" s="119"/>
      <c r="R95" s="56"/>
      <c r="S95" s="56"/>
      <c r="T95" s="129"/>
      <c r="U95" s="134"/>
      <c r="V95" s="120"/>
    </row>
    <row r="96" spans="12:22" x14ac:dyDescent="0.2">
      <c r="L96" s="118" t="s">
        <v>203</v>
      </c>
      <c r="M96" s="119"/>
      <c r="N96" s="56"/>
      <c r="O96" s="56"/>
      <c r="P96" s="120"/>
      <c r="Q96" s="119"/>
      <c r="R96" s="56"/>
      <c r="S96" s="56"/>
      <c r="T96" s="129"/>
      <c r="U96" s="134"/>
      <c r="V96" s="120"/>
    </row>
    <row r="97" spans="12:22" ht="13.5" thickBot="1" x14ac:dyDescent="0.25">
      <c r="L97" s="118" t="s">
        <v>57</v>
      </c>
      <c r="M97" s="123"/>
      <c r="N97" s="124"/>
      <c r="O97" s="124"/>
      <c r="P97" s="125"/>
      <c r="Q97" s="123"/>
      <c r="R97" s="124"/>
      <c r="S97" s="124"/>
      <c r="T97" s="131"/>
      <c r="U97" s="135"/>
      <c r="V97" s="125"/>
    </row>
    <row r="98" spans="12:22" x14ac:dyDescent="0.2">
      <c r="N98" s="75">
        <f>AVERAGE(N63:N97)</f>
        <v>72.040180943859937</v>
      </c>
      <c r="O98" s="75">
        <f t="shared" ref="O98:T98" si="10">AVERAGE(O63:O97)</f>
        <v>13.676666666666664</v>
      </c>
      <c r="P98" s="75">
        <f t="shared" si="10"/>
        <v>61.94929107607652</v>
      </c>
      <c r="Q98" s="75">
        <f t="shared" si="10"/>
        <v>4.0535277272727264</v>
      </c>
      <c r="R98" s="75">
        <f t="shared" si="10"/>
        <v>85.488670457747574</v>
      </c>
      <c r="S98" s="75">
        <f t="shared" si="10"/>
        <v>1.8294929999999998</v>
      </c>
      <c r="T98" s="75">
        <f t="shared" si="10"/>
        <v>12.671341040092219</v>
      </c>
    </row>
  </sheetData>
  <mergeCells count="77">
    <mergeCell ref="M61:P61"/>
    <mergeCell ref="Q61:T61"/>
    <mergeCell ref="U35:V35"/>
    <mergeCell ref="P2:R2"/>
    <mergeCell ref="P3:P4"/>
    <mergeCell ref="Q3:Q4"/>
    <mergeCell ref="R3:R4"/>
    <mergeCell ref="S3:T3"/>
    <mergeCell ref="S2:V2"/>
    <mergeCell ref="U3:V3"/>
    <mergeCell ref="S18:T18"/>
    <mergeCell ref="U7:V7"/>
    <mergeCell ref="S17:T17"/>
    <mergeCell ref="U9:V9"/>
    <mergeCell ref="U10:V10"/>
    <mergeCell ref="U11:V11"/>
    <mergeCell ref="C24:C37"/>
    <mergeCell ref="D24:D37"/>
    <mergeCell ref="J26:J29"/>
    <mergeCell ref="J30:J32"/>
    <mergeCell ref="C38:C39"/>
    <mergeCell ref="D38:D39"/>
    <mergeCell ref="E38:E39"/>
    <mergeCell ref="F38:F39"/>
    <mergeCell ref="G38:G39"/>
    <mergeCell ref="H38:H39"/>
    <mergeCell ref="G24:G36"/>
    <mergeCell ref="F24:F36"/>
    <mergeCell ref="E24:E36"/>
    <mergeCell ref="H24:H36"/>
    <mergeCell ref="C5:C23"/>
    <mergeCell ref="D5:D23"/>
    <mergeCell ref="E5:E23"/>
    <mergeCell ref="F5:F23"/>
    <mergeCell ref="H7:H16"/>
    <mergeCell ref="G19:G23"/>
    <mergeCell ref="H19:H23"/>
    <mergeCell ref="G5:G6"/>
    <mergeCell ref="H5:H6"/>
    <mergeCell ref="G7:G16"/>
    <mergeCell ref="U12:V12"/>
    <mergeCell ref="M2:O2"/>
    <mergeCell ref="M3:M4"/>
    <mergeCell ref="N3:N4"/>
    <mergeCell ref="O3:O4"/>
    <mergeCell ref="C2:D3"/>
    <mergeCell ref="E2:F3"/>
    <mergeCell ref="G2:H3"/>
    <mergeCell ref="I2:J3"/>
    <mergeCell ref="U30:V30"/>
    <mergeCell ref="U25:V25"/>
    <mergeCell ref="U26:V26"/>
    <mergeCell ref="U27:V27"/>
    <mergeCell ref="U18:V18"/>
    <mergeCell ref="U19:V19"/>
    <mergeCell ref="U28:V28"/>
    <mergeCell ref="U29:V29"/>
    <mergeCell ref="U20:V20"/>
    <mergeCell ref="U21:V21"/>
    <mergeCell ref="U22:V22"/>
    <mergeCell ref="U23:V23"/>
    <mergeCell ref="K2:L3"/>
    <mergeCell ref="U36:V36"/>
    <mergeCell ref="U37:V37"/>
    <mergeCell ref="U38:V38"/>
    <mergeCell ref="U39:V39"/>
    <mergeCell ref="U31:V31"/>
    <mergeCell ref="U32:V32"/>
    <mergeCell ref="U33:V33"/>
    <mergeCell ref="U34:V34"/>
    <mergeCell ref="U24:V24"/>
    <mergeCell ref="U13:V13"/>
    <mergeCell ref="U14:V14"/>
    <mergeCell ref="U15:V15"/>
    <mergeCell ref="U16:V16"/>
    <mergeCell ref="U17:V17"/>
    <mergeCell ref="U8:V8"/>
  </mergeCells>
  <pageMargins left="0.7" right="0.7" top="0.75" bottom="0.75" header="0.3" footer="0.3"/>
  <pageSetup paperSize="9" orientation="portrait" horizontalDpi="0"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N11"/>
  <sheetViews>
    <sheetView workbookViewId="0">
      <selection activeCell="I4" sqref="I4:I11"/>
    </sheetView>
  </sheetViews>
  <sheetFormatPr baseColWidth="10" defaultRowHeight="15" x14ac:dyDescent="0.25"/>
  <cols>
    <col min="3" max="3" width="4" bestFit="1" customWidth="1"/>
    <col min="5" max="5" width="4" bestFit="1" customWidth="1"/>
    <col min="7" max="7" width="5" bestFit="1" customWidth="1"/>
    <col min="8" max="8" width="19.28515625" customWidth="1"/>
    <col min="9" max="9" width="12.5703125" customWidth="1"/>
    <col min="10" max="13" width="11.42578125" customWidth="1"/>
    <col min="14" max="14" width="16.140625" customWidth="1"/>
  </cols>
  <sheetData>
    <row r="1" spans="3:14" x14ac:dyDescent="0.25">
      <c r="I1" s="230" t="s">
        <v>341</v>
      </c>
      <c r="J1" s="294" t="s">
        <v>294</v>
      </c>
      <c r="K1" s="294"/>
      <c r="L1" s="294"/>
      <c r="M1" s="294"/>
      <c r="N1" s="230" t="s">
        <v>338</v>
      </c>
    </row>
    <row r="2" spans="3:14" x14ac:dyDescent="0.25">
      <c r="C2" s="252" t="s">
        <v>0</v>
      </c>
      <c r="D2" s="252"/>
      <c r="E2" s="252" t="s">
        <v>1</v>
      </c>
      <c r="F2" s="252"/>
      <c r="G2" s="252" t="s">
        <v>2</v>
      </c>
      <c r="H2" s="252"/>
      <c r="I2" s="295" t="s">
        <v>135</v>
      </c>
      <c r="J2" s="252" t="s">
        <v>129</v>
      </c>
      <c r="K2" s="252"/>
      <c r="L2" s="252"/>
      <c r="M2" s="297"/>
      <c r="N2" s="295" t="s">
        <v>130</v>
      </c>
    </row>
    <row r="3" spans="3:14" ht="25.5" x14ac:dyDescent="0.25">
      <c r="C3" s="47" t="s">
        <v>127</v>
      </c>
      <c r="D3" s="47" t="s">
        <v>128</v>
      </c>
      <c r="E3" s="47" t="s">
        <v>127</v>
      </c>
      <c r="F3" s="47" t="s">
        <v>128</v>
      </c>
      <c r="G3" s="47" t="s">
        <v>127</v>
      </c>
      <c r="H3" s="47" t="s">
        <v>128</v>
      </c>
      <c r="I3" s="296"/>
      <c r="J3" s="47" t="s">
        <v>138</v>
      </c>
      <c r="K3" s="48" t="s">
        <v>123</v>
      </c>
      <c r="L3" s="47" t="s">
        <v>139</v>
      </c>
      <c r="M3" s="48" t="s">
        <v>123</v>
      </c>
      <c r="N3" s="296"/>
    </row>
    <row r="4" spans="3:14" x14ac:dyDescent="0.25">
      <c r="C4" s="260">
        <v>1</v>
      </c>
      <c r="D4" s="260" t="s">
        <v>4</v>
      </c>
      <c r="E4" s="260">
        <v>16</v>
      </c>
      <c r="F4" s="260" t="s">
        <v>5</v>
      </c>
      <c r="G4" s="10">
        <v>1605</v>
      </c>
      <c r="H4" s="14" t="s">
        <v>6</v>
      </c>
      <c r="I4" s="21">
        <v>98.275958110999994</v>
      </c>
      <c r="J4" s="21">
        <v>8.4</v>
      </c>
      <c r="K4" s="176" t="s">
        <v>137</v>
      </c>
      <c r="L4" s="176">
        <v>26.4</v>
      </c>
      <c r="M4" s="176" t="s">
        <v>111</v>
      </c>
      <c r="N4" s="21" t="s">
        <v>111</v>
      </c>
    </row>
    <row r="5" spans="3:14" x14ac:dyDescent="0.25">
      <c r="C5" s="261"/>
      <c r="D5" s="261"/>
      <c r="E5" s="261"/>
      <c r="F5" s="261"/>
      <c r="G5" s="35" t="s">
        <v>9</v>
      </c>
      <c r="H5" s="36" t="s">
        <v>10</v>
      </c>
      <c r="I5" s="21">
        <v>535.18723003800005</v>
      </c>
      <c r="J5" s="21">
        <v>32.200000000000003</v>
      </c>
      <c r="K5" s="176" t="s">
        <v>111</v>
      </c>
      <c r="L5" s="176">
        <v>113.8</v>
      </c>
      <c r="M5" s="176" t="s">
        <v>140</v>
      </c>
      <c r="N5" s="21" t="s">
        <v>136</v>
      </c>
    </row>
    <row r="6" spans="3:14" ht="38.25" x14ac:dyDescent="0.25">
      <c r="C6" s="261"/>
      <c r="D6" s="261"/>
      <c r="E6" s="261"/>
      <c r="F6" s="261"/>
      <c r="G6" s="33" t="s">
        <v>21</v>
      </c>
      <c r="H6" s="37" t="s">
        <v>119</v>
      </c>
      <c r="I6" s="21">
        <v>49.714544453000002</v>
      </c>
      <c r="J6" s="21">
        <v>1.7</v>
      </c>
      <c r="K6" s="176" t="s">
        <v>137</v>
      </c>
      <c r="L6" s="176">
        <v>6.9</v>
      </c>
      <c r="M6" s="176" t="s">
        <v>137</v>
      </c>
      <c r="N6" s="21" t="s">
        <v>111</v>
      </c>
    </row>
    <row r="7" spans="3:14" x14ac:dyDescent="0.25">
      <c r="C7" s="261"/>
      <c r="D7" s="261"/>
      <c r="E7" s="261"/>
      <c r="F7" s="261"/>
      <c r="G7" s="33" t="s">
        <v>23</v>
      </c>
      <c r="H7" s="18" t="s">
        <v>24</v>
      </c>
      <c r="I7" s="71">
        <v>14.495715347000001</v>
      </c>
      <c r="J7" s="21">
        <v>1.6</v>
      </c>
      <c r="K7" s="176" t="s">
        <v>137</v>
      </c>
      <c r="L7" s="176">
        <v>4.5</v>
      </c>
      <c r="M7" s="176" t="s">
        <v>137</v>
      </c>
      <c r="N7" s="21" t="s">
        <v>111</v>
      </c>
    </row>
    <row r="8" spans="3:14" x14ac:dyDescent="0.25">
      <c r="C8" s="261"/>
      <c r="D8" s="261"/>
      <c r="E8" s="261"/>
      <c r="F8" s="261"/>
      <c r="G8" s="31">
        <v>1601</v>
      </c>
      <c r="H8" s="34" t="s">
        <v>26</v>
      </c>
      <c r="I8" s="21">
        <v>258.89811860100002</v>
      </c>
      <c r="J8" s="21">
        <v>58.3</v>
      </c>
      <c r="K8" s="176" t="s">
        <v>112</v>
      </c>
      <c r="L8" s="176">
        <v>216.1</v>
      </c>
      <c r="M8" s="176" t="s">
        <v>140</v>
      </c>
      <c r="N8" s="21" t="s">
        <v>111</v>
      </c>
    </row>
    <row r="9" spans="3:14" ht="25.5" x14ac:dyDescent="0.25">
      <c r="C9" s="257" t="s">
        <v>32</v>
      </c>
      <c r="D9" s="258" t="s">
        <v>33</v>
      </c>
      <c r="E9" s="2">
        <v>23</v>
      </c>
      <c r="F9" s="8" t="s">
        <v>34</v>
      </c>
      <c r="G9" s="38">
        <v>2319</v>
      </c>
      <c r="H9" s="37" t="s">
        <v>51</v>
      </c>
      <c r="I9" s="21">
        <v>875.42524654700003</v>
      </c>
      <c r="J9" s="21">
        <v>16.8</v>
      </c>
      <c r="K9" s="176" t="s">
        <v>125</v>
      </c>
      <c r="L9" s="176">
        <v>41.4</v>
      </c>
      <c r="M9" s="176" t="s">
        <v>111</v>
      </c>
      <c r="N9" s="21" t="s">
        <v>111</v>
      </c>
    </row>
    <row r="10" spans="3:14" x14ac:dyDescent="0.25">
      <c r="C10" s="257"/>
      <c r="D10" s="259"/>
      <c r="E10" s="10">
        <v>24</v>
      </c>
      <c r="F10" s="10" t="s">
        <v>52</v>
      </c>
      <c r="G10" s="31">
        <v>2403</v>
      </c>
      <c r="H10" s="19" t="s">
        <v>120</v>
      </c>
      <c r="I10" s="72">
        <v>877.64494135400003</v>
      </c>
      <c r="J10" s="21">
        <v>37.799999999999997</v>
      </c>
      <c r="K10" s="176" t="s">
        <v>111</v>
      </c>
      <c r="L10" s="176">
        <v>124.3</v>
      </c>
      <c r="M10" s="176" t="s">
        <v>140</v>
      </c>
      <c r="N10" s="21" t="s">
        <v>111</v>
      </c>
    </row>
    <row r="11" spans="3:14" x14ac:dyDescent="0.25">
      <c r="C11" s="10">
        <v>3</v>
      </c>
      <c r="D11" s="10" t="s">
        <v>206</v>
      </c>
      <c r="E11" s="10">
        <v>37</v>
      </c>
      <c r="F11" s="10" t="s">
        <v>55</v>
      </c>
      <c r="G11" s="31">
        <v>3701</v>
      </c>
      <c r="H11" s="19" t="s">
        <v>56</v>
      </c>
      <c r="I11" s="21">
        <v>99.739316885999997</v>
      </c>
      <c r="J11" s="21">
        <v>10.4</v>
      </c>
      <c r="K11" s="176" t="s">
        <v>125</v>
      </c>
      <c r="L11" s="176">
        <v>24.3</v>
      </c>
      <c r="M11" s="176" t="s">
        <v>111</v>
      </c>
      <c r="N11" s="21" t="s">
        <v>137</v>
      </c>
    </row>
  </sheetData>
  <mergeCells count="13">
    <mergeCell ref="J1:M1"/>
    <mergeCell ref="C9:C10"/>
    <mergeCell ref="D9:D10"/>
    <mergeCell ref="I2:I3"/>
    <mergeCell ref="N2:N3"/>
    <mergeCell ref="J2:M2"/>
    <mergeCell ref="C2:D2"/>
    <mergeCell ref="E2:F2"/>
    <mergeCell ref="G2:H2"/>
    <mergeCell ref="C4:C8"/>
    <mergeCell ref="D4:D8"/>
    <mergeCell ref="E4:E8"/>
    <mergeCell ref="F4:F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C2:Q82"/>
  <sheetViews>
    <sheetView topLeftCell="D3" workbookViewId="0">
      <selection activeCell="M3" sqref="M3:M4"/>
    </sheetView>
  </sheetViews>
  <sheetFormatPr baseColWidth="10" defaultRowHeight="15" x14ac:dyDescent="0.25"/>
  <cols>
    <col min="1" max="2" width="5.5703125" customWidth="1"/>
    <col min="3" max="3" width="4" bestFit="1" customWidth="1"/>
    <col min="5" max="5" width="4" bestFit="1" customWidth="1"/>
    <col min="7" max="7" width="5" bestFit="1" customWidth="1"/>
    <col min="8" max="8" width="14.5703125" customWidth="1"/>
    <col min="9" max="9" width="13.42578125" customWidth="1"/>
    <col min="10" max="10" width="18" style="58" customWidth="1"/>
    <col min="11" max="11" width="12.7109375" style="58" bestFit="1" customWidth="1"/>
    <col min="12" max="12" width="22.42578125" style="58" customWidth="1"/>
    <col min="13" max="13" width="11.85546875" customWidth="1"/>
    <col min="14" max="14" width="14.140625" customWidth="1"/>
    <col min="16" max="16" width="12.42578125" customWidth="1"/>
  </cols>
  <sheetData>
    <row r="2" spans="3:17" x14ac:dyDescent="0.25">
      <c r="M2" s="230" t="s">
        <v>292</v>
      </c>
      <c r="N2" s="294" t="s">
        <v>342</v>
      </c>
      <c r="O2" s="294"/>
      <c r="P2" s="294"/>
      <c r="Q2" s="294"/>
    </row>
    <row r="3" spans="3:17" ht="15" customHeight="1" x14ac:dyDescent="0.25">
      <c r="C3" s="266" t="s">
        <v>0</v>
      </c>
      <c r="D3" s="266"/>
      <c r="E3" s="266" t="s">
        <v>1</v>
      </c>
      <c r="F3" s="266"/>
      <c r="G3" s="266" t="s">
        <v>2</v>
      </c>
      <c r="H3" s="266"/>
      <c r="I3" s="266" t="s">
        <v>190</v>
      </c>
      <c r="J3" s="267"/>
      <c r="K3" s="266" t="s">
        <v>191</v>
      </c>
      <c r="L3" s="267"/>
      <c r="M3" s="295" t="s">
        <v>159</v>
      </c>
      <c r="N3" s="303" t="s">
        <v>129</v>
      </c>
      <c r="O3" s="252"/>
      <c r="P3" s="252"/>
      <c r="Q3" s="252"/>
    </row>
    <row r="4" spans="3:17" ht="25.5" hidden="1" x14ac:dyDescent="0.25">
      <c r="C4" s="47" t="s">
        <v>127</v>
      </c>
      <c r="D4" s="47" t="s">
        <v>128</v>
      </c>
      <c r="E4" s="47" t="s">
        <v>127</v>
      </c>
      <c r="F4" s="47" t="s">
        <v>128</v>
      </c>
      <c r="G4" s="47" t="s">
        <v>127</v>
      </c>
      <c r="H4" s="47" t="s">
        <v>128</v>
      </c>
      <c r="I4" s="47" t="s">
        <v>127</v>
      </c>
      <c r="J4" s="47" t="s">
        <v>128</v>
      </c>
      <c r="K4" s="47" t="s">
        <v>127</v>
      </c>
      <c r="L4" s="47" t="s">
        <v>128</v>
      </c>
      <c r="M4" s="296"/>
      <c r="N4" s="62" t="s">
        <v>138</v>
      </c>
      <c r="O4" s="48" t="s">
        <v>123</v>
      </c>
      <c r="P4" s="62" t="s">
        <v>139</v>
      </c>
      <c r="Q4" s="48" t="s">
        <v>123</v>
      </c>
    </row>
    <row r="5" spans="3:17" x14ac:dyDescent="0.25">
      <c r="C5" s="260">
        <v>1</v>
      </c>
      <c r="D5" s="260" t="s">
        <v>4</v>
      </c>
      <c r="E5" s="260">
        <v>16</v>
      </c>
      <c r="F5" s="260" t="s">
        <v>5</v>
      </c>
      <c r="G5" s="282">
        <v>1605</v>
      </c>
      <c r="H5" s="284" t="s">
        <v>6</v>
      </c>
      <c r="I5" s="26" t="s">
        <v>77</v>
      </c>
      <c r="J5" s="29" t="s">
        <v>7</v>
      </c>
      <c r="K5" s="29"/>
      <c r="L5" s="29"/>
      <c r="M5" s="61">
        <f>77.1/1000</f>
        <v>7.7099999999999988E-2</v>
      </c>
      <c r="N5" s="25">
        <v>2.93</v>
      </c>
      <c r="O5" s="25" t="s">
        <v>155</v>
      </c>
      <c r="P5" s="25">
        <v>7.71</v>
      </c>
      <c r="Q5" s="12" t="s">
        <v>137</v>
      </c>
    </row>
    <row r="6" spans="3:17" x14ac:dyDescent="0.25">
      <c r="C6" s="261"/>
      <c r="D6" s="261"/>
      <c r="E6" s="261"/>
      <c r="F6" s="261"/>
      <c r="G6" s="282"/>
      <c r="H6" s="284"/>
      <c r="I6" s="26" t="s">
        <v>78</v>
      </c>
      <c r="J6" s="29" t="s">
        <v>8</v>
      </c>
      <c r="K6" s="29"/>
      <c r="L6" s="29"/>
      <c r="M6" s="24">
        <f>82.5/1000</f>
        <v>8.2500000000000004E-2</v>
      </c>
      <c r="N6" s="25">
        <v>2.69</v>
      </c>
      <c r="O6" s="25" t="s">
        <v>155</v>
      </c>
      <c r="P6" s="25">
        <v>7.05</v>
      </c>
      <c r="Q6" s="25" t="s">
        <v>155</v>
      </c>
    </row>
    <row r="7" spans="3:17" x14ac:dyDescent="0.25">
      <c r="C7" s="261"/>
      <c r="D7" s="261"/>
      <c r="E7" s="261"/>
      <c r="F7" s="261"/>
      <c r="G7" s="285" t="s">
        <v>9</v>
      </c>
      <c r="H7" s="279" t="s">
        <v>10</v>
      </c>
      <c r="I7" s="28" t="s">
        <v>79</v>
      </c>
      <c r="J7" s="29" t="s">
        <v>11</v>
      </c>
      <c r="K7" s="29"/>
      <c r="L7" s="29"/>
      <c r="M7" s="24">
        <v>0.88</v>
      </c>
      <c r="N7" s="25">
        <v>18.8</v>
      </c>
      <c r="O7" s="25" t="s">
        <v>136</v>
      </c>
      <c r="P7" s="25" t="s">
        <v>161</v>
      </c>
      <c r="Q7" s="25" t="s">
        <v>161</v>
      </c>
    </row>
    <row r="8" spans="3:17" x14ac:dyDescent="0.25">
      <c r="C8" s="261"/>
      <c r="D8" s="261"/>
      <c r="E8" s="261"/>
      <c r="F8" s="261"/>
      <c r="G8" s="286"/>
      <c r="H8" s="280"/>
      <c r="I8" s="28" t="s">
        <v>80</v>
      </c>
      <c r="J8" s="29" t="s">
        <v>12</v>
      </c>
      <c r="K8" s="29"/>
      <c r="L8" s="29"/>
      <c r="M8" s="181">
        <v>5.0000000000000001E-3</v>
      </c>
      <c r="N8" s="25">
        <v>1.01</v>
      </c>
      <c r="O8" s="25" t="s">
        <v>137</v>
      </c>
      <c r="P8" s="25" t="s">
        <v>161</v>
      </c>
      <c r="Q8" s="25" t="s">
        <v>161</v>
      </c>
    </row>
    <row r="9" spans="3:17" x14ac:dyDescent="0.25">
      <c r="C9" s="261"/>
      <c r="D9" s="261"/>
      <c r="E9" s="261"/>
      <c r="F9" s="261"/>
      <c r="G9" s="286"/>
      <c r="H9" s="280"/>
      <c r="I9" s="28" t="s">
        <v>81</v>
      </c>
      <c r="J9" s="29" t="s">
        <v>13</v>
      </c>
      <c r="K9" s="29"/>
      <c r="L9" s="29"/>
      <c r="M9" s="61">
        <v>0.105</v>
      </c>
      <c r="N9" s="25">
        <v>2.2400000000000002</v>
      </c>
      <c r="O9" s="25" t="s">
        <v>137</v>
      </c>
      <c r="P9" s="25" t="s">
        <v>161</v>
      </c>
      <c r="Q9" s="25" t="s">
        <v>161</v>
      </c>
    </row>
    <row r="10" spans="3:17" hidden="1" x14ac:dyDescent="0.25">
      <c r="C10" s="261"/>
      <c r="D10" s="261"/>
      <c r="E10" s="261"/>
      <c r="F10" s="261"/>
      <c r="G10" s="286"/>
      <c r="H10" s="280"/>
      <c r="I10" s="28" t="s">
        <v>82</v>
      </c>
      <c r="J10" s="29" t="s">
        <v>14</v>
      </c>
      <c r="K10" s="29"/>
      <c r="L10" s="29"/>
      <c r="M10" s="25" t="s">
        <v>161</v>
      </c>
      <c r="N10" s="25" t="s">
        <v>161</v>
      </c>
      <c r="O10" s="25" t="s">
        <v>126</v>
      </c>
      <c r="P10" s="25" t="s">
        <v>161</v>
      </c>
      <c r="Q10" s="25" t="s">
        <v>161</v>
      </c>
    </row>
    <row r="11" spans="3:17" hidden="1" x14ac:dyDescent="0.25">
      <c r="C11" s="261"/>
      <c r="D11" s="261"/>
      <c r="E11" s="261"/>
      <c r="F11" s="261"/>
      <c r="G11" s="286"/>
      <c r="H11" s="280"/>
      <c r="I11" s="28" t="s">
        <v>83</v>
      </c>
      <c r="J11" s="29" t="s">
        <v>15</v>
      </c>
      <c r="K11" s="29"/>
      <c r="L11" s="29"/>
      <c r="M11" s="25" t="s">
        <v>161</v>
      </c>
      <c r="N11" s="25" t="s">
        <v>161</v>
      </c>
      <c r="O11" s="25" t="s">
        <v>126</v>
      </c>
      <c r="P11" s="25" t="s">
        <v>161</v>
      </c>
      <c r="Q11" s="25" t="s">
        <v>161</v>
      </c>
    </row>
    <row r="12" spans="3:17" x14ac:dyDescent="0.25">
      <c r="C12" s="261"/>
      <c r="D12" s="261"/>
      <c r="E12" s="261"/>
      <c r="F12" s="261"/>
      <c r="G12" s="286"/>
      <c r="H12" s="280"/>
      <c r="I12" s="28" t="s">
        <v>84</v>
      </c>
      <c r="J12" s="29" t="s">
        <v>16</v>
      </c>
      <c r="K12" s="29"/>
      <c r="L12" s="29"/>
      <c r="M12" s="24">
        <v>5.6000000000000001E-2</v>
      </c>
      <c r="N12" s="25">
        <v>2.23</v>
      </c>
      <c r="O12" s="25" t="s">
        <v>137</v>
      </c>
      <c r="P12" s="25" t="s">
        <v>161</v>
      </c>
      <c r="Q12" s="25" t="s">
        <v>161</v>
      </c>
    </row>
    <row r="13" spans="3:17" x14ac:dyDescent="0.25">
      <c r="C13" s="261"/>
      <c r="D13" s="261"/>
      <c r="E13" s="261"/>
      <c r="F13" s="261"/>
      <c r="G13" s="286"/>
      <c r="H13" s="280"/>
      <c r="I13" s="28" t="s">
        <v>85</v>
      </c>
      <c r="J13" s="29" t="s">
        <v>17</v>
      </c>
      <c r="K13" s="29"/>
      <c r="L13" s="29"/>
      <c r="M13" s="24">
        <v>6.8000000000000005E-2</v>
      </c>
      <c r="N13" s="25">
        <v>4.5</v>
      </c>
      <c r="O13" s="25" t="s">
        <v>137</v>
      </c>
      <c r="P13" s="25" t="s">
        <v>161</v>
      </c>
      <c r="Q13" s="25" t="s">
        <v>161</v>
      </c>
    </row>
    <row r="14" spans="3:17" x14ac:dyDescent="0.25">
      <c r="C14" s="261"/>
      <c r="D14" s="261"/>
      <c r="E14" s="261"/>
      <c r="F14" s="261"/>
      <c r="G14" s="286"/>
      <c r="H14" s="280"/>
      <c r="I14" s="28" t="s">
        <v>86</v>
      </c>
      <c r="J14" s="29" t="s">
        <v>18</v>
      </c>
      <c r="K14" s="29"/>
      <c r="L14" s="29"/>
      <c r="M14" s="24">
        <v>2.3E-2</v>
      </c>
      <c r="N14" s="25">
        <v>1.28</v>
      </c>
      <c r="O14" s="25" t="s">
        <v>137</v>
      </c>
      <c r="P14" s="25" t="s">
        <v>161</v>
      </c>
      <c r="Q14" s="25" t="s">
        <v>161</v>
      </c>
    </row>
    <row r="15" spans="3:17" x14ac:dyDescent="0.25">
      <c r="C15" s="261"/>
      <c r="D15" s="261"/>
      <c r="E15" s="261"/>
      <c r="F15" s="261"/>
      <c r="G15" s="286"/>
      <c r="H15" s="280"/>
      <c r="I15" s="28" t="s">
        <v>87</v>
      </c>
      <c r="J15" s="29" t="s">
        <v>19</v>
      </c>
      <c r="K15" s="29"/>
      <c r="L15" s="29"/>
      <c r="M15" s="24">
        <v>2.1000000000000001E-2</v>
      </c>
      <c r="N15" s="25">
        <v>0.77</v>
      </c>
      <c r="O15" s="25" t="s">
        <v>126</v>
      </c>
      <c r="P15" s="25" t="s">
        <v>161</v>
      </c>
      <c r="Q15" s="25" t="s">
        <v>161</v>
      </c>
    </row>
    <row r="16" spans="3:17" x14ac:dyDescent="0.25">
      <c r="C16" s="261"/>
      <c r="D16" s="261"/>
      <c r="E16" s="261"/>
      <c r="F16" s="261"/>
      <c r="G16" s="287"/>
      <c r="H16" s="281"/>
      <c r="I16" s="28" t="s">
        <v>88</v>
      </c>
      <c r="J16" s="29" t="s">
        <v>20</v>
      </c>
      <c r="K16" s="29"/>
      <c r="L16" s="29"/>
      <c r="M16" s="24">
        <v>0.48399999999999999</v>
      </c>
      <c r="N16" s="25">
        <v>42.61</v>
      </c>
      <c r="O16" s="25" t="s">
        <v>111</v>
      </c>
      <c r="P16" s="25" t="s">
        <v>161</v>
      </c>
      <c r="Q16" s="25" t="s">
        <v>161</v>
      </c>
    </row>
    <row r="17" spans="3:17" hidden="1" x14ac:dyDescent="0.25">
      <c r="C17" s="261"/>
      <c r="D17" s="261"/>
      <c r="E17" s="261"/>
      <c r="F17" s="261"/>
      <c r="G17" s="27" t="s">
        <v>21</v>
      </c>
      <c r="H17" s="36" t="s">
        <v>119</v>
      </c>
      <c r="I17" s="32"/>
      <c r="J17" s="19" t="s">
        <v>22</v>
      </c>
      <c r="K17" s="19"/>
      <c r="L17" s="19"/>
      <c r="M17" s="25" t="s">
        <v>161</v>
      </c>
      <c r="N17" s="31" t="s">
        <v>161</v>
      </c>
      <c r="O17" s="31" t="s">
        <v>161</v>
      </c>
      <c r="P17" s="31" t="s">
        <v>161</v>
      </c>
      <c r="Q17" s="31" t="s">
        <v>161</v>
      </c>
    </row>
    <row r="18" spans="3:17" hidden="1" x14ac:dyDescent="0.25">
      <c r="C18" s="261"/>
      <c r="D18" s="261"/>
      <c r="E18" s="261"/>
      <c r="F18" s="261"/>
      <c r="G18" s="27" t="s">
        <v>23</v>
      </c>
      <c r="H18" s="18" t="s">
        <v>24</v>
      </c>
      <c r="I18" s="18"/>
      <c r="J18" s="231" t="s">
        <v>25</v>
      </c>
      <c r="K18" s="231"/>
      <c r="L18" s="231"/>
      <c r="M18" s="25" t="s">
        <v>161</v>
      </c>
      <c r="N18" s="31" t="s">
        <v>161</v>
      </c>
      <c r="O18" s="31" t="s">
        <v>161</v>
      </c>
      <c r="P18" s="31" t="s">
        <v>161</v>
      </c>
      <c r="Q18" s="31" t="s">
        <v>161</v>
      </c>
    </row>
    <row r="19" spans="3:17" hidden="1" x14ac:dyDescent="0.25">
      <c r="C19" s="261"/>
      <c r="D19" s="261"/>
      <c r="E19" s="261"/>
      <c r="F19" s="261"/>
      <c r="G19" s="282">
        <v>1601</v>
      </c>
      <c r="H19" s="283" t="s">
        <v>26</v>
      </c>
      <c r="I19" s="19">
        <v>20</v>
      </c>
      <c r="J19" s="19" t="s">
        <v>27</v>
      </c>
      <c r="K19" s="19"/>
      <c r="L19" s="19"/>
      <c r="M19" s="25" t="s">
        <v>113</v>
      </c>
      <c r="N19" s="31">
        <v>0.6</v>
      </c>
      <c r="O19" s="31" t="s">
        <v>126</v>
      </c>
      <c r="P19" s="31">
        <v>100</v>
      </c>
      <c r="Q19" s="31" t="s">
        <v>112</v>
      </c>
    </row>
    <row r="20" spans="3:17" hidden="1" x14ac:dyDescent="0.25">
      <c r="C20" s="261"/>
      <c r="D20" s="261"/>
      <c r="E20" s="261"/>
      <c r="F20" s="261"/>
      <c r="G20" s="282"/>
      <c r="H20" s="283"/>
      <c r="I20" s="19">
        <v>17</v>
      </c>
      <c r="J20" s="19" t="s">
        <v>28</v>
      </c>
      <c r="K20" s="19"/>
      <c r="L20" s="19"/>
      <c r="M20" s="70" t="s">
        <v>113</v>
      </c>
      <c r="N20" s="31">
        <v>15</v>
      </c>
      <c r="O20" s="31" t="s">
        <v>136</v>
      </c>
      <c r="P20" s="31">
        <v>100</v>
      </c>
      <c r="Q20" s="31" t="s">
        <v>112</v>
      </c>
    </row>
    <row r="21" spans="3:17" hidden="1" x14ac:dyDescent="0.25">
      <c r="C21" s="261"/>
      <c r="D21" s="261"/>
      <c r="E21" s="261"/>
      <c r="F21" s="261"/>
      <c r="G21" s="282"/>
      <c r="H21" s="283"/>
      <c r="I21" s="19">
        <v>21</v>
      </c>
      <c r="J21" s="19" t="s">
        <v>29</v>
      </c>
      <c r="K21" s="19"/>
      <c r="L21" s="19"/>
      <c r="M21" s="70" t="s">
        <v>113</v>
      </c>
      <c r="N21" s="31">
        <v>0.1</v>
      </c>
      <c r="O21" s="31" t="s">
        <v>126</v>
      </c>
      <c r="P21" s="31">
        <v>100</v>
      </c>
      <c r="Q21" s="31" t="s">
        <v>112</v>
      </c>
    </row>
    <row r="22" spans="3:17" hidden="1" x14ac:dyDescent="0.25">
      <c r="C22" s="261"/>
      <c r="D22" s="261"/>
      <c r="E22" s="261"/>
      <c r="F22" s="261"/>
      <c r="G22" s="282"/>
      <c r="H22" s="283"/>
      <c r="I22" s="19">
        <v>24</v>
      </c>
      <c r="J22" s="19" t="s">
        <v>30</v>
      </c>
      <c r="K22" s="19"/>
      <c r="L22" s="19"/>
      <c r="M22" s="70" t="s">
        <v>113</v>
      </c>
      <c r="N22" s="31">
        <v>30</v>
      </c>
      <c r="O22" s="31" t="s">
        <v>111</v>
      </c>
      <c r="P22" s="31">
        <v>100</v>
      </c>
      <c r="Q22" s="31" t="s">
        <v>112</v>
      </c>
    </row>
    <row r="23" spans="3:17" hidden="1" x14ac:dyDescent="0.25">
      <c r="C23" s="278"/>
      <c r="D23" s="278"/>
      <c r="E23" s="278"/>
      <c r="F23" s="278"/>
      <c r="G23" s="282"/>
      <c r="H23" s="283"/>
      <c r="I23" s="19">
        <v>25</v>
      </c>
      <c r="J23" s="19" t="s">
        <v>31</v>
      </c>
      <c r="K23" s="19"/>
      <c r="L23" s="19"/>
      <c r="M23" s="70" t="s">
        <v>113</v>
      </c>
      <c r="N23" s="31">
        <v>37</v>
      </c>
      <c r="O23" s="31" t="s">
        <v>111</v>
      </c>
      <c r="P23" s="31">
        <v>100</v>
      </c>
      <c r="Q23" s="31" t="s">
        <v>112</v>
      </c>
    </row>
    <row r="24" spans="3:17" x14ac:dyDescent="0.25">
      <c r="C24" s="257" t="s">
        <v>32</v>
      </c>
      <c r="D24" s="258" t="s">
        <v>33</v>
      </c>
      <c r="E24" s="285">
        <v>23</v>
      </c>
      <c r="F24" s="258" t="s">
        <v>34</v>
      </c>
      <c r="G24" s="260">
        <v>2319</v>
      </c>
      <c r="H24" s="306" t="s">
        <v>51</v>
      </c>
      <c r="I24" s="19" t="s">
        <v>185</v>
      </c>
      <c r="J24" s="232" t="s">
        <v>35</v>
      </c>
      <c r="K24" s="19" t="s">
        <v>92</v>
      </c>
      <c r="L24" s="182" t="s">
        <v>36</v>
      </c>
      <c r="M24" s="24">
        <v>3.5000000000000003E-2</v>
      </c>
      <c r="N24" s="31">
        <v>0.86299999999999999</v>
      </c>
      <c r="O24" s="31" t="s">
        <v>126</v>
      </c>
      <c r="P24" s="31" t="s">
        <v>161</v>
      </c>
      <c r="Q24" s="31" t="s">
        <v>161</v>
      </c>
    </row>
    <row r="25" spans="3:17" x14ac:dyDescent="0.25">
      <c r="C25" s="257"/>
      <c r="D25" s="288"/>
      <c r="E25" s="286"/>
      <c r="F25" s="288"/>
      <c r="G25" s="261"/>
      <c r="H25" s="307"/>
      <c r="I25" s="19" t="s">
        <v>186</v>
      </c>
      <c r="J25" s="232" t="s">
        <v>37</v>
      </c>
      <c r="K25" s="19" t="s">
        <v>93</v>
      </c>
      <c r="L25" s="182" t="s">
        <v>38</v>
      </c>
      <c r="M25" s="239">
        <v>1128</v>
      </c>
      <c r="N25" s="31">
        <v>56.802</v>
      </c>
      <c r="O25" s="31" t="s">
        <v>160</v>
      </c>
      <c r="P25" s="31" t="s">
        <v>161</v>
      </c>
      <c r="Q25" s="31" t="s">
        <v>161</v>
      </c>
    </row>
    <row r="26" spans="3:17" x14ac:dyDescent="0.25">
      <c r="C26" s="257"/>
      <c r="D26" s="288"/>
      <c r="E26" s="286"/>
      <c r="F26" s="288"/>
      <c r="G26" s="261"/>
      <c r="H26" s="307"/>
      <c r="I26" s="19" t="s">
        <v>187</v>
      </c>
      <c r="J26" s="304" t="s">
        <v>39</v>
      </c>
      <c r="K26" s="19" t="s">
        <v>94</v>
      </c>
      <c r="L26" s="182" t="s">
        <v>40</v>
      </c>
      <c r="M26" s="24">
        <v>1.9E-2</v>
      </c>
      <c r="N26" s="31">
        <v>0.33700000000000002</v>
      </c>
      <c r="O26" s="31" t="s">
        <v>126</v>
      </c>
      <c r="P26" s="31" t="s">
        <v>161</v>
      </c>
      <c r="Q26" s="31" t="s">
        <v>161</v>
      </c>
    </row>
    <row r="27" spans="3:17" x14ac:dyDescent="0.25">
      <c r="C27" s="257"/>
      <c r="D27" s="288"/>
      <c r="E27" s="286"/>
      <c r="F27" s="288"/>
      <c r="G27" s="261"/>
      <c r="H27" s="307"/>
      <c r="I27" s="19" t="s">
        <v>187</v>
      </c>
      <c r="J27" s="304"/>
      <c r="K27" s="19" t="s">
        <v>95</v>
      </c>
      <c r="L27" s="182" t="s">
        <v>41</v>
      </c>
      <c r="M27" s="24">
        <v>4.9000000000000002E-2</v>
      </c>
      <c r="N27" s="31">
        <v>1.6679999999999999</v>
      </c>
      <c r="O27" s="31" t="s">
        <v>137</v>
      </c>
      <c r="P27" s="31" t="s">
        <v>161</v>
      </c>
      <c r="Q27" s="31" t="s">
        <v>161</v>
      </c>
    </row>
    <row r="28" spans="3:17" x14ac:dyDescent="0.25">
      <c r="C28" s="257"/>
      <c r="D28" s="288"/>
      <c r="E28" s="286"/>
      <c r="F28" s="288"/>
      <c r="G28" s="261"/>
      <c r="H28" s="307"/>
      <c r="I28" s="19" t="s">
        <v>187</v>
      </c>
      <c r="J28" s="304"/>
      <c r="K28" s="19" t="s">
        <v>96</v>
      </c>
      <c r="L28" s="182" t="s">
        <v>42</v>
      </c>
      <c r="M28" s="24">
        <v>8.0000000000000002E-3</v>
      </c>
      <c r="N28" s="31">
        <v>0.58899999999999997</v>
      </c>
      <c r="O28" s="31" t="s">
        <v>126</v>
      </c>
      <c r="P28" s="31" t="s">
        <v>161</v>
      </c>
      <c r="Q28" s="31" t="s">
        <v>161</v>
      </c>
    </row>
    <row r="29" spans="3:17" x14ac:dyDescent="0.25">
      <c r="C29" s="257"/>
      <c r="D29" s="288"/>
      <c r="E29" s="286"/>
      <c r="F29" s="288"/>
      <c r="G29" s="261"/>
      <c r="H29" s="307"/>
      <c r="I29" s="19" t="s">
        <v>187</v>
      </c>
      <c r="J29" s="304"/>
      <c r="K29" s="19" t="s">
        <v>97</v>
      </c>
      <c r="L29" s="182" t="s">
        <v>43</v>
      </c>
      <c r="M29" s="240">
        <v>1273</v>
      </c>
      <c r="N29" s="31">
        <v>59.225000000000001</v>
      </c>
      <c r="O29" s="31" t="s">
        <v>112</v>
      </c>
      <c r="P29" s="31" t="s">
        <v>161</v>
      </c>
      <c r="Q29" s="31" t="s">
        <v>161</v>
      </c>
    </row>
    <row r="30" spans="3:17" x14ac:dyDescent="0.25">
      <c r="C30" s="257"/>
      <c r="D30" s="288"/>
      <c r="E30" s="286"/>
      <c r="F30" s="288"/>
      <c r="G30" s="261"/>
      <c r="H30" s="307"/>
      <c r="I30" s="19" t="s">
        <v>181</v>
      </c>
      <c r="J30" s="305" t="s">
        <v>45</v>
      </c>
      <c r="K30" s="19" t="s">
        <v>102</v>
      </c>
      <c r="L30" s="182" t="s">
        <v>46</v>
      </c>
      <c r="M30" s="24" t="s">
        <v>164</v>
      </c>
      <c r="N30" s="220">
        <v>0.09</v>
      </c>
      <c r="O30" s="176" t="s">
        <v>126</v>
      </c>
      <c r="P30" s="31" t="s">
        <v>161</v>
      </c>
      <c r="Q30" s="31" t="s">
        <v>161</v>
      </c>
    </row>
    <row r="31" spans="3:17" x14ac:dyDescent="0.25">
      <c r="C31" s="257"/>
      <c r="D31" s="288"/>
      <c r="E31" s="286"/>
      <c r="F31" s="288"/>
      <c r="G31" s="261"/>
      <c r="H31" s="307"/>
      <c r="I31" s="19" t="s">
        <v>182</v>
      </c>
      <c r="J31" s="305"/>
      <c r="K31" s="19" t="s">
        <v>103</v>
      </c>
      <c r="L31" s="182" t="s">
        <v>47</v>
      </c>
      <c r="M31" s="24" t="s">
        <v>163</v>
      </c>
      <c r="N31" s="176">
        <v>0.03</v>
      </c>
      <c r="O31" s="176" t="s">
        <v>126</v>
      </c>
      <c r="P31" s="31" t="s">
        <v>161</v>
      </c>
      <c r="Q31" s="31" t="s">
        <v>161</v>
      </c>
    </row>
    <row r="32" spans="3:17" x14ac:dyDescent="0.25">
      <c r="C32" s="257"/>
      <c r="D32" s="288"/>
      <c r="E32" s="286"/>
      <c r="F32" s="288"/>
      <c r="G32" s="261"/>
      <c r="H32" s="307"/>
      <c r="I32" s="19" t="s">
        <v>183</v>
      </c>
      <c r="J32" s="305"/>
      <c r="K32" s="19" t="s">
        <v>104</v>
      </c>
      <c r="L32" s="182" t="s">
        <v>48</v>
      </c>
      <c r="M32" s="24" t="s">
        <v>165</v>
      </c>
      <c r="N32" s="176">
        <v>7.0000000000000007E-2</v>
      </c>
      <c r="O32" s="176" t="s">
        <v>126</v>
      </c>
      <c r="P32" s="31" t="s">
        <v>161</v>
      </c>
      <c r="Q32" s="31" t="s">
        <v>161</v>
      </c>
    </row>
    <row r="33" spans="3:17" ht="25.5" x14ac:dyDescent="0.25">
      <c r="C33" s="257"/>
      <c r="D33" s="288"/>
      <c r="E33" s="286"/>
      <c r="F33" s="288"/>
      <c r="G33" s="261"/>
      <c r="H33" s="307"/>
      <c r="I33" s="19" t="s">
        <v>184</v>
      </c>
      <c r="J33" s="233" t="s">
        <v>49</v>
      </c>
      <c r="K33" s="19" t="s">
        <v>109</v>
      </c>
      <c r="L33" s="234" t="s">
        <v>288</v>
      </c>
      <c r="M33" s="24">
        <v>8.35</v>
      </c>
      <c r="N33" s="176">
        <v>16.36</v>
      </c>
      <c r="O33" s="176" t="s">
        <v>136</v>
      </c>
      <c r="P33" s="31">
        <v>29.67</v>
      </c>
      <c r="Q33" s="31" t="s">
        <v>111</v>
      </c>
    </row>
    <row r="34" spans="3:17" ht="15" customHeight="1" x14ac:dyDescent="0.25">
      <c r="C34" s="257"/>
      <c r="D34" s="288"/>
      <c r="E34" s="286"/>
      <c r="F34" s="288"/>
      <c r="G34" s="261"/>
      <c r="H34" s="307"/>
      <c r="I34" s="19" t="s">
        <v>188</v>
      </c>
      <c r="J34" s="191"/>
      <c r="K34" s="19" t="s">
        <v>98</v>
      </c>
      <c r="L34" s="231" t="s">
        <v>115</v>
      </c>
      <c r="M34" s="64">
        <v>6.7000000000000004E-2</v>
      </c>
      <c r="N34" s="220">
        <v>0.18</v>
      </c>
      <c r="O34" s="176" t="s">
        <v>126</v>
      </c>
      <c r="P34" s="38" t="s">
        <v>161</v>
      </c>
      <c r="Q34" s="38" t="s">
        <v>161</v>
      </c>
    </row>
    <row r="35" spans="3:17" hidden="1" x14ac:dyDescent="0.25">
      <c r="C35" s="257"/>
      <c r="D35" s="288"/>
      <c r="E35" s="286"/>
      <c r="F35" s="288"/>
      <c r="G35" s="261"/>
      <c r="H35" s="307"/>
      <c r="I35" s="19"/>
      <c r="J35" s="236" t="s">
        <v>44</v>
      </c>
      <c r="K35" s="182"/>
      <c r="L35" s="182"/>
      <c r="M35" s="25" t="s">
        <v>161</v>
      </c>
      <c r="N35" s="31" t="s">
        <v>161</v>
      </c>
      <c r="O35" s="31" t="s">
        <v>161</v>
      </c>
      <c r="P35" s="31" t="s">
        <v>161</v>
      </c>
      <c r="Q35" s="31" t="s">
        <v>161</v>
      </c>
    </row>
    <row r="36" spans="3:17" x14ac:dyDescent="0.25">
      <c r="C36" s="257"/>
      <c r="D36" s="288"/>
      <c r="E36" s="287"/>
      <c r="F36" s="259"/>
      <c r="G36" s="278"/>
      <c r="H36" s="308"/>
      <c r="I36" s="19" t="s">
        <v>189</v>
      </c>
      <c r="J36" s="191"/>
      <c r="K36" s="19" t="s">
        <v>108</v>
      </c>
      <c r="L36" s="231" t="s">
        <v>107</v>
      </c>
      <c r="M36" s="239">
        <v>18.850000000000001</v>
      </c>
      <c r="N36" s="176">
        <v>39.630000000000003</v>
      </c>
      <c r="O36" s="176" t="s">
        <v>136</v>
      </c>
      <c r="P36" s="31">
        <v>74.72</v>
      </c>
      <c r="Q36" s="31" t="s">
        <v>112</v>
      </c>
    </row>
    <row r="37" spans="3:17" hidden="1" x14ac:dyDescent="0.25">
      <c r="C37" s="257"/>
      <c r="D37" s="259"/>
      <c r="E37" s="25">
        <v>24</v>
      </c>
      <c r="F37" s="25" t="s">
        <v>52</v>
      </c>
      <c r="G37" s="25">
        <v>2403</v>
      </c>
      <c r="H37" s="18" t="s">
        <v>120</v>
      </c>
      <c r="I37" s="18"/>
      <c r="J37" s="19" t="s">
        <v>53</v>
      </c>
      <c r="K37" s="19"/>
      <c r="L37" s="19"/>
      <c r="M37" s="25" t="s">
        <v>161</v>
      </c>
      <c r="N37" s="31" t="s">
        <v>161</v>
      </c>
      <c r="O37" s="31" t="s">
        <v>161</v>
      </c>
      <c r="P37" s="31" t="s">
        <v>161</v>
      </c>
      <c r="Q37" s="31" t="s">
        <v>161</v>
      </c>
    </row>
    <row r="38" spans="3:17" hidden="1" x14ac:dyDescent="0.25">
      <c r="C38" s="282">
        <v>3</v>
      </c>
      <c r="D38" s="260" t="s">
        <v>54</v>
      </c>
      <c r="E38" s="282">
        <v>37</v>
      </c>
      <c r="F38" s="260" t="s">
        <v>55</v>
      </c>
      <c r="G38" s="282">
        <v>3701</v>
      </c>
      <c r="H38" s="289" t="s">
        <v>56</v>
      </c>
      <c r="I38" s="19"/>
      <c r="J38" s="228"/>
      <c r="K38" s="228"/>
      <c r="L38" s="228"/>
      <c r="M38" s="25" t="s">
        <v>161</v>
      </c>
      <c r="N38" s="31" t="s">
        <v>161</v>
      </c>
      <c r="O38" s="31" t="s">
        <v>161</v>
      </c>
      <c r="P38" s="31" t="s">
        <v>161</v>
      </c>
      <c r="Q38" s="31" t="s">
        <v>161</v>
      </c>
    </row>
    <row r="39" spans="3:17" hidden="1" x14ac:dyDescent="0.25">
      <c r="C39" s="282"/>
      <c r="D39" s="278"/>
      <c r="E39" s="282"/>
      <c r="F39" s="278"/>
      <c r="G39" s="282"/>
      <c r="H39" s="289"/>
      <c r="I39" s="19"/>
      <c r="J39" s="228" t="s">
        <v>57</v>
      </c>
      <c r="K39" s="228"/>
      <c r="L39" s="228"/>
      <c r="M39" s="25" t="s">
        <v>161</v>
      </c>
      <c r="N39" s="31" t="s">
        <v>161</v>
      </c>
      <c r="O39" s="31" t="s">
        <v>161</v>
      </c>
      <c r="P39" s="31" t="s">
        <v>161</v>
      </c>
      <c r="Q39" s="31" t="s">
        <v>161</v>
      </c>
    </row>
    <row r="40" spans="3:17" s="189" customFormat="1" hidden="1" x14ac:dyDescent="0.25">
      <c r="C40" s="15" t="s">
        <v>192</v>
      </c>
      <c r="D40" s="187"/>
      <c r="E40" s="187"/>
      <c r="F40" s="187"/>
      <c r="G40" s="187"/>
      <c r="H40" s="39"/>
      <c r="I40" s="39"/>
      <c r="J40" s="188"/>
      <c r="K40" s="188"/>
      <c r="L40" s="188"/>
      <c r="M40" s="187"/>
      <c r="N40" s="187"/>
      <c r="O40" s="187"/>
      <c r="P40" s="187"/>
      <c r="Q40" s="187"/>
    </row>
    <row r="41" spans="3:17" s="189" customFormat="1" hidden="1" x14ac:dyDescent="0.25">
      <c r="C41" t="s">
        <v>205</v>
      </c>
      <c r="D41" s="187"/>
      <c r="E41" s="187"/>
      <c r="F41" s="187"/>
      <c r="G41" s="187"/>
      <c r="H41" s="39"/>
      <c r="I41" s="39"/>
      <c r="J41" s="188"/>
      <c r="K41" s="188"/>
      <c r="L41" s="188"/>
      <c r="M41" s="187"/>
      <c r="N41" s="187"/>
      <c r="O41" s="187"/>
      <c r="P41" s="187"/>
      <c r="Q41" s="187"/>
    </row>
    <row r="42" spans="3:17" s="189" customFormat="1" x14ac:dyDescent="0.25">
      <c r="C42" s="187"/>
      <c r="D42" s="187"/>
      <c r="E42" s="187"/>
      <c r="F42" s="187"/>
      <c r="G42" s="187"/>
      <c r="H42" s="39"/>
      <c r="I42" s="39"/>
      <c r="J42" s="188"/>
      <c r="K42" s="188"/>
      <c r="P42" s="187"/>
      <c r="Q42" s="187"/>
    </row>
    <row r="43" spans="3:17" x14ac:dyDescent="0.25">
      <c r="D43" t="s">
        <v>153</v>
      </c>
    </row>
    <row r="44" spans="3:17" x14ac:dyDescent="0.25">
      <c r="D44" t="s">
        <v>154</v>
      </c>
    </row>
    <row r="45" spans="3:17" x14ac:dyDescent="0.25">
      <c r="D45" t="s">
        <v>156</v>
      </c>
    </row>
    <row r="46" spans="3:17" x14ac:dyDescent="0.25">
      <c r="D46" t="s">
        <v>157</v>
      </c>
    </row>
    <row r="47" spans="3:17" x14ac:dyDescent="0.25">
      <c r="D47" t="s">
        <v>158</v>
      </c>
    </row>
    <row r="48" spans="3:17" x14ac:dyDescent="0.25">
      <c r="D48" t="s">
        <v>172</v>
      </c>
    </row>
    <row r="49" spans="4:17" x14ac:dyDescent="0.25">
      <c r="D49" t="s">
        <v>171</v>
      </c>
    </row>
    <row r="50" spans="4:17" x14ac:dyDescent="0.25">
      <c r="D50" t="s">
        <v>174</v>
      </c>
    </row>
    <row r="51" spans="4:17" x14ac:dyDescent="0.25">
      <c r="D51" t="s">
        <v>175</v>
      </c>
    </row>
    <row r="52" spans="4:17" x14ac:dyDescent="0.25">
      <c r="D52" t="s">
        <v>177</v>
      </c>
    </row>
    <row r="53" spans="4:17" x14ac:dyDescent="0.25">
      <c r="P53" s="47" t="s">
        <v>117</v>
      </c>
      <c r="Q53" s="47" t="s">
        <v>117</v>
      </c>
    </row>
    <row r="54" spans="4:17" ht="25.5" customHeight="1" x14ac:dyDescent="0.25">
      <c r="M54" s="188"/>
      <c r="N54" s="298" t="s">
        <v>284</v>
      </c>
      <c r="O54" s="298"/>
      <c r="P54" s="190">
        <v>29</v>
      </c>
      <c r="Q54" s="147">
        <v>9</v>
      </c>
    </row>
    <row r="55" spans="4:17" x14ac:dyDescent="0.25">
      <c r="I55" s="63"/>
    </row>
    <row r="56" spans="4:17" ht="75" x14ac:dyDescent="0.25">
      <c r="I56" s="63"/>
      <c r="M56" s="299" t="s">
        <v>285</v>
      </c>
      <c r="N56" s="151" t="s">
        <v>286</v>
      </c>
      <c r="O56" s="151" t="s">
        <v>287</v>
      </c>
      <c r="P56" s="151" t="s">
        <v>286</v>
      </c>
      <c r="Q56" s="151" t="s">
        <v>287</v>
      </c>
    </row>
    <row r="57" spans="4:17" s="189" customFormat="1" x14ac:dyDescent="0.25">
      <c r="I57" s="164"/>
      <c r="J57" s="191"/>
      <c r="K57" s="191"/>
      <c r="L57" s="191"/>
      <c r="M57" s="300"/>
      <c r="N57" s="301" t="s">
        <v>117</v>
      </c>
      <c r="O57" s="302"/>
      <c r="P57" s="301" t="s">
        <v>194</v>
      </c>
      <c r="Q57" s="302"/>
    </row>
    <row r="58" spans="4:17" x14ac:dyDescent="0.25">
      <c r="I58" s="63"/>
      <c r="M58" s="31" t="s">
        <v>137</v>
      </c>
      <c r="N58" s="147">
        <v>8</v>
      </c>
      <c r="O58" s="192">
        <f>N58*100/P54</f>
        <v>27.586206896551722</v>
      </c>
      <c r="P58" s="147">
        <v>2</v>
      </c>
      <c r="Q58" s="159">
        <f>P58*100/Q$54</f>
        <v>22.222222222222221</v>
      </c>
    </row>
    <row r="59" spans="4:17" x14ac:dyDescent="0.25">
      <c r="I59" s="63"/>
      <c r="M59" s="31" t="s">
        <v>283</v>
      </c>
      <c r="N59" s="147">
        <v>12</v>
      </c>
      <c r="O59" s="192">
        <f>N59*100/P54</f>
        <v>41.379310344827587</v>
      </c>
      <c r="P59" s="147">
        <v>0</v>
      </c>
      <c r="Q59" s="159">
        <f t="shared" ref="Q59:Q62" si="0">P59*100/Q$54</f>
        <v>0</v>
      </c>
    </row>
    <row r="60" spans="4:17" x14ac:dyDescent="0.25">
      <c r="I60" s="63"/>
      <c r="M60" s="31" t="s">
        <v>136</v>
      </c>
      <c r="N60" s="147">
        <v>4</v>
      </c>
      <c r="O60" s="192">
        <f>N60*100/P54</f>
        <v>13.793103448275861</v>
      </c>
      <c r="P60" s="147">
        <v>0</v>
      </c>
      <c r="Q60" s="159">
        <f t="shared" si="0"/>
        <v>0</v>
      </c>
    </row>
    <row r="61" spans="4:17" x14ac:dyDescent="0.25">
      <c r="I61" s="63"/>
      <c r="M61" s="31" t="s">
        <v>111</v>
      </c>
      <c r="N61" s="147">
        <v>4</v>
      </c>
      <c r="O61" s="192">
        <f>N61*100/P54</f>
        <v>13.793103448275861</v>
      </c>
      <c r="P61" s="147">
        <v>1</v>
      </c>
      <c r="Q61" s="159">
        <f t="shared" si="0"/>
        <v>11.111111111111111</v>
      </c>
    </row>
    <row r="62" spans="4:17" x14ac:dyDescent="0.25">
      <c r="I62" s="63"/>
      <c r="M62" s="31" t="s">
        <v>112</v>
      </c>
      <c r="N62" s="147">
        <v>1</v>
      </c>
      <c r="O62" s="192">
        <f>N62*100/P54</f>
        <v>3.4482758620689653</v>
      </c>
      <c r="P62" s="147">
        <v>6</v>
      </c>
      <c r="Q62" s="159">
        <f t="shared" si="0"/>
        <v>66.666666666666671</v>
      </c>
    </row>
    <row r="63" spans="4:17" x14ac:dyDescent="0.25">
      <c r="I63" s="63"/>
    </row>
    <row r="64" spans="4:17" x14ac:dyDescent="0.25">
      <c r="I64" s="63"/>
    </row>
    <row r="65" spans="9:9" x14ac:dyDescent="0.25">
      <c r="I65" s="63"/>
    </row>
    <row r="66" spans="9:9" x14ac:dyDescent="0.25">
      <c r="I66" s="63"/>
    </row>
    <row r="67" spans="9:9" x14ac:dyDescent="0.25">
      <c r="I67" s="63"/>
    </row>
    <row r="68" spans="9:9" x14ac:dyDescent="0.25">
      <c r="I68" s="63"/>
    </row>
    <row r="69" spans="9:9" x14ac:dyDescent="0.25">
      <c r="I69" s="63"/>
    </row>
    <row r="70" spans="9:9" x14ac:dyDescent="0.25">
      <c r="I70" s="63"/>
    </row>
    <row r="71" spans="9:9" x14ac:dyDescent="0.25">
      <c r="I71" s="63"/>
    </row>
    <row r="72" spans="9:9" x14ac:dyDescent="0.25">
      <c r="I72" s="63"/>
    </row>
    <row r="73" spans="9:9" x14ac:dyDescent="0.25">
      <c r="I73" s="63"/>
    </row>
    <row r="74" spans="9:9" x14ac:dyDescent="0.25">
      <c r="I74" s="63"/>
    </row>
    <row r="75" spans="9:9" x14ac:dyDescent="0.25">
      <c r="I75" s="63"/>
    </row>
    <row r="76" spans="9:9" x14ac:dyDescent="0.25">
      <c r="I76" s="63"/>
    </row>
    <row r="77" spans="9:9" x14ac:dyDescent="0.25">
      <c r="I77" s="63"/>
    </row>
    <row r="78" spans="9:9" x14ac:dyDescent="0.25">
      <c r="I78" s="63"/>
    </row>
    <row r="79" spans="9:9" x14ac:dyDescent="0.25">
      <c r="I79" s="63"/>
    </row>
    <row r="80" spans="9:9" x14ac:dyDescent="0.25">
      <c r="I80" s="63"/>
    </row>
    <row r="81" spans="9:9" x14ac:dyDescent="0.25">
      <c r="I81" s="63"/>
    </row>
    <row r="82" spans="9:9" x14ac:dyDescent="0.25">
      <c r="I82" s="63"/>
    </row>
  </sheetData>
  <autoFilter ref="C2:Q41" xr:uid="{9BCE08DC-A5A1-4E32-B4B1-565EF3DC53C7}">
    <filterColumn colId="10">
      <filters>
        <filter val="0,005"/>
        <filter val="0,01"/>
        <filter val="0,02"/>
        <filter val="0,04"/>
        <filter val="0,05"/>
        <filter val="0,06"/>
        <filter val="0,07"/>
        <filter val="0,077"/>
        <filter val="0,08"/>
        <filter val="0,105"/>
        <filter val="0,48"/>
        <filter val="0,88"/>
        <filter val="0.00091"/>
        <filter val="0.00171"/>
        <filter val="0.00234"/>
        <filter val="1128,00"/>
        <filter val="1273,00"/>
        <filter val="18,85"/>
        <filter val="8,35"/>
        <filter val="Demanda Hídrica Total (m3/s)"/>
      </filters>
    </filterColumn>
    <filterColumn colId="11" showButton="0"/>
    <filterColumn colId="12" showButton="0"/>
    <filterColumn colId="13" showButton="0"/>
  </autoFilter>
  <mergeCells count="36">
    <mergeCell ref="J26:J29"/>
    <mergeCell ref="J30:J32"/>
    <mergeCell ref="H24:H36"/>
    <mergeCell ref="H5:H6"/>
    <mergeCell ref="H7:H16"/>
    <mergeCell ref="H19:H23"/>
    <mergeCell ref="H38:H39"/>
    <mergeCell ref="C24:C37"/>
    <mergeCell ref="D24:D37"/>
    <mergeCell ref="E24:E36"/>
    <mergeCell ref="F24:F36"/>
    <mergeCell ref="G24:G36"/>
    <mergeCell ref="C38:C39"/>
    <mergeCell ref="D38:D39"/>
    <mergeCell ref="E38:E39"/>
    <mergeCell ref="F38:F39"/>
    <mergeCell ref="G38:G39"/>
    <mergeCell ref="C5:C23"/>
    <mergeCell ref="D5:D23"/>
    <mergeCell ref="E5:E23"/>
    <mergeCell ref="F5:F23"/>
    <mergeCell ref="G5:G6"/>
    <mergeCell ref="G7:G16"/>
    <mergeCell ref="G19:G23"/>
    <mergeCell ref="C3:D3"/>
    <mergeCell ref="E3:F3"/>
    <mergeCell ref="G3:H3"/>
    <mergeCell ref="I3:J3"/>
    <mergeCell ref="K3:L3"/>
    <mergeCell ref="N2:Q2"/>
    <mergeCell ref="N54:O54"/>
    <mergeCell ref="M56:M57"/>
    <mergeCell ref="N57:O57"/>
    <mergeCell ref="P57:Q57"/>
    <mergeCell ref="M3:M4"/>
    <mergeCell ref="N3:Q3"/>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R56"/>
  <sheetViews>
    <sheetView topLeftCell="B25" zoomScale="80" zoomScaleNormal="80" workbookViewId="0">
      <selection activeCell="M39" sqref="M39:O39"/>
    </sheetView>
  </sheetViews>
  <sheetFormatPr baseColWidth="10" defaultRowHeight="15" x14ac:dyDescent="0.25"/>
  <cols>
    <col min="3" max="3" width="4.28515625" customWidth="1"/>
    <col min="5" max="5" width="4" bestFit="1" customWidth="1"/>
    <col min="7" max="7" width="5.5703125" bestFit="1" customWidth="1"/>
    <col min="8" max="8" width="41.5703125" bestFit="1" customWidth="1"/>
    <col min="9" max="9" width="10.5703125" bestFit="1" customWidth="1"/>
    <col min="10" max="10" width="19" customWidth="1"/>
    <col min="11" max="11" width="12.7109375" bestFit="1" customWidth="1"/>
    <col min="12" max="12" width="22.7109375" bestFit="1" customWidth="1"/>
    <col min="13" max="13" width="18" bestFit="1" customWidth="1"/>
    <col min="14" max="14" width="11.42578125" customWidth="1"/>
    <col min="15" max="15" width="14.140625" customWidth="1"/>
    <col min="17" max="17" width="19.140625" customWidth="1"/>
  </cols>
  <sheetData>
    <row r="1" spans="3:16" x14ac:dyDescent="0.25">
      <c r="M1" s="230" t="s">
        <v>293</v>
      </c>
    </row>
    <row r="2" spans="3:16" ht="23.25" customHeight="1" x14ac:dyDescent="0.25">
      <c r="C2" s="266" t="s">
        <v>0</v>
      </c>
      <c r="D2" s="266"/>
      <c r="E2" s="266" t="s">
        <v>1</v>
      </c>
      <c r="F2" s="266"/>
      <c r="G2" s="266" t="s">
        <v>2</v>
      </c>
      <c r="H2" s="266"/>
      <c r="I2" s="266" t="s">
        <v>190</v>
      </c>
      <c r="J2" s="267"/>
      <c r="K2" s="266" t="s">
        <v>191</v>
      </c>
      <c r="L2" s="267"/>
      <c r="M2" s="303" t="s">
        <v>213</v>
      </c>
      <c r="N2" s="252"/>
      <c r="O2" s="252"/>
      <c r="P2" s="252"/>
    </row>
    <row r="3" spans="3:16" ht="81" customHeight="1" x14ac:dyDescent="0.25">
      <c r="C3" s="47" t="s">
        <v>127</v>
      </c>
      <c r="D3" s="47" t="s">
        <v>128</v>
      </c>
      <c r="E3" s="47" t="s">
        <v>127</v>
      </c>
      <c r="F3" s="47" t="s">
        <v>128</v>
      </c>
      <c r="G3" s="47" t="s">
        <v>127</v>
      </c>
      <c r="H3" s="47" t="s">
        <v>128</v>
      </c>
      <c r="I3" s="47" t="s">
        <v>127</v>
      </c>
      <c r="J3" s="47" t="s">
        <v>128</v>
      </c>
      <c r="K3" s="47" t="s">
        <v>127</v>
      </c>
      <c r="L3" s="47" t="s">
        <v>128</v>
      </c>
      <c r="M3" s="62" t="s">
        <v>214</v>
      </c>
      <c r="N3" s="62" t="s">
        <v>215</v>
      </c>
      <c r="O3" s="62" t="s">
        <v>279</v>
      </c>
      <c r="P3" s="62" t="s">
        <v>217</v>
      </c>
    </row>
    <row r="4" spans="3:16" ht="24.95" customHeight="1" x14ac:dyDescent="0.25">
      <c r="C4" s="260">
        <v>1</v>
      </c>
      <c r="D4" s="260" t="s">
        <v>4</v>
      </c>
      <c r="E4" s="260">
        <v>16</v>
      </c>
      <c r="F4" s="260" t="s">
        <v>5</v>
      </c>
      <c r="G4" s="282">
        <v>1605</v>
      </c>
      <c r="H4" s="284" t="s">
        <v>6</v>
      </c>
      <c r="I4" s="69" t="s">
        <v>77</v>
      </c>
      <c r="J4" s="29" t="s">
        <v>7</v>
      </c>
      <c r="K4" s="29"/>
      <c r="L4" s="29"/>
      <c r="M4" s="56">
        <v>0.31092999999999998</v>
      </c>
      <c r="N4" s="56">
        <f>29.18/1000</f>
        <v>2.9180000000000001E-2</v>
      </c>
      <c r="O4" s="56" t="s">
        <v>218</v>
      </c>
      <c r="P4" s="177">
        <f>1.76/1000</f>
        <v>1.7600000000000001E-3</v>
      </c>
    </row>
    <row r="5" spans="3:16" ht="24.95" customHeight="1" x14ac:dyDescent="0.25">
      <c r="C5" s="261"/>
      <c r="D5" s="261"/>
      <c r="E5" s="261"/>
      <c r="F5" s="261"/>
      <c r="G5" s="282"/>
      <c r="H5" s="284"/>
      <c r="I5" s="69" t="s">
        <v>78</v>
      </c>
      <c r="J5" s="29" t="s">
        <v>8</v>
      </c>
      <c r="K5" s="29"/>
      <c r="L5" s="29"/>
      <c r="M5" s="56">
        <f>130.44/1000</f>
        <v>0.13044</v>
      </c>
      <c r="N5" s="56">
        <f>29.18/1000</f>
        <v>2.9180000000000001E-2</v>
      </c>
      <c r="O5" s="56" t="s">
        <v>218</v>
      </c>
      <c r="P5" s="178">
        <f>2.05/1000</f>
        <v>2.0499999999999997E-3</v>
      </c>
    </row>
    <row r="6" spans="3:16" ht="15" customHeight="1" x14ac:dyDescent="0.25">
      <c r="C6" s="261"/>
      <c r="D6" s="261"/>
      <c r="E6" s="261"/>
      <c r="F6" s="261"/>
      <c r="G6" s="285" t="s">
        <v>9</v>
      </c>
      <c r="H6" s="279" t="s">
        <v>10</v>
      </c>
      <c r="I6" s="68" t="s">
        <v>79</v>
      </c>
      <c r="J6" s="29" t="s">
        <v>11</v>
      </c>
      <c r="K6" s="29"/>
      <c r="L6" s="29"/>
      <c r="M6" s="149">
        <f>804.73/1000</f>
        <v>0.80473000000000006</v>
      </c>
      <c r="N6" s="56">
        <f>321.84/1000</f>
        <v>0.32183999999999996</v>
      </c>
      <c r="O6" s="56" t="s">
        <v>166</v>
      </c>
      <c r="P6" s="178">
        <f>11.57/1000</f>
        <v>1.157E-2</v>
      </c>
    </row>
    <row r="7" spans="3:16" x14ac:dyDescent="0.25">
      <c r="C7" s="261"/>
      <c r="D7" s="261"/>
      <c r="E7" s="261"/>
      <c r="F7" s="261"/>
      <c r="G7" s="286"/>
      <c r="H7" s="280"/>
      <c r="I7" s="68" t="s">
        <v>80</v>
      </c>
      <c r="J7" s="29" t="s">
        <v>12</v>
      </c>
      <c r="K7" s="29"/>
      <c r="L7" s="29"/>
      <c r="M7" s="56" t="s">
        <v>218</v>
      </c>
      <c r="N7" s="56">
        <f>18.15/1000</f>
        <v>1.8149999999999999E-2</v>
      </c>
      <c r="O7" s="56" t="s">
        <v>166</v>
      </c>
      <c r="P7" s="178">
        <f>1.17/1000</f>
        <v>1.17E-3</v>
      </c>
    </row>
    <row r="8" spans="3:16" x14ac:dyDescent="0.25">
      <c r="C8" s="261"/>
      <c r="D8" s="261"/>
      <c r="E8" s="261"/>
      <c r="F8" s="261"/>
      <c r="G8" s="286"/>
      <c r="H8" s="280"/>
      <c r="I8" s="68" t="s">
        <v>81</v>
      </c>
      <c r="J8" s="29" t="s">
        <v>13</v>
      </c>
      <c r="K8" s="29"/>
      <c r="L8" s="29"/>
      <c r="M8" s="56">
        <f>0.27/1000</f>
        <v>2.7E-4</v>
      </c>
      <c r="N8" s="56">
        <f>80.41/1000</f>
        <v>8.0409999999999995E-2</v>
      </c>
      <c r="O8" s="56" t="s">
        <v>166</v>
      </c>
      <c r="P8" s="178">
        <f>9.8/1000</f>
        <v>9.8000000000000014E-3</v>
      </c>
    </row>
    <row r="9" spans="3:16" x14ac:dyDescent="0.25">
      <c r="C9" s="261"/>
      <c r="D9" s="261"/>
      <c r="E9" s="261"/>
      <c r="F9" s="261"/>
      <c r="G9" s="286"/>
      <c r="H9" s="280"/>
      <c r="I9" s="68" t="s">
        <v>82</v>
      </c>
      <c r="J9" s="29" t="s">
        <v>14</v>
      </c>
      <c r="K9" s="29"/>
      <c r="L9" s="29"/>
      <c r="M9" s="56" t="s">
        <v>218</v>
      </c>
      <c r="N9" s="56">
        <f>14.46/1000</f>
        <v>1.4460000000000001E-2</v>
      </c>
      <c r="O9" s="56" t="s">
        <v>166</v>
      </c>
      <c r="P9" s="178">
        <f>4.14/1000</f>
        <v>4.1399999999999996E-3</v>
      </c>
    </row>
    <row r="10" spans="3:16" x14ac:dyDescent="0.25">
      <c r="C10" s="261"/>
      <c r="D10" s="261"/>
      <c r="E10" s="261"/>
      <c r="F10" s="261"/>
      <c r="G10" s="286"/>
      <c r="H10" s="280"/>
      <c r="I10" s="68" t="s">
        <v>83</v>
      </c>
      <c r="J10" s="29" t="s">
        <v>15</v>
      </c>
      <c r="K10" s="29"/>
      <c r="L10" s="29"/>
      <c r="M10" s="56">
        <f>0.93/1000</f>
        <v>9.3000000000000005E-4</v>
      </c>
      <c r="N10" s="56">
        <f>23.12/1000</f>
        <v>2.3120000000000002E-2</v>
      </c>
      <c r="O10" s="56" t="s">
        <v>166</v>
      </c>
      <c r="P10" s="178">
        <f>1.55/1000</f>
        <v>1.5499999999999999E-3</v>
      </c>
    </row>
    <row r="11" spans="3:16" x14ac:dyDescent="0.25">
      <c r="C11" s="261"/>
      <c r="D11" s="261"/>
      <c r="E11" s="261"/>
      <c r="F11" s="261"/>
      <c r="G11" s="286"/>
      <c r="H11" s="280"/>
      <c r="I11" s="68" t="s">
        <v>84</v>
      </c>
      <c r="J11" s="29" t="s">
        <v>16</v>
      </c>
      <c r="K11" s="29"/>
      <c r="L11" s="29"/>
      <c r="M11" s="56">
        <f>0.82/1000</f>
        <v>8.1999999999999998E-4</v>
      </c>
      <c r="N11" s="56">
        <f>120.56/1000</f>
        <v>0.12056</v>
      </c>
      <c r="O11" s="56" t="s">
        <v>166</v>
      </c>
      <c r="P11" s="178">
        <f>5.65/1000</f>
        <v>5.6500000000000005E-3</v>
      </c>
    </row>
    <row r="12" spans="3:16" x14ac:dyDescent="0.25">
      <c r="C12" s="261"/>
      <c r="D12" s="261"/>
      <c r="E12" s="261"/>
      <c r="F12" s="261"/>
      <c r="G12" s="286"/>
      <c r="H12" s="280"/>
      <c r="I12" s="68" t="s">
        <v>85</v>
      </c>
      <c r="J12" s="29" t="s">
        <v>17</v>
      </c>
      <c r="K12" s="29"/>
      <c r="L12" s="29"/>
      <c r="M12" s="56" t="s">
        <v>218</v>
      </c>
      <c r="N12" s="56">
        <f>23.82/1000</f>
        <v>2.3820000000000001E-2</v>
      </c>
      <c r="O12" s="56" t="s">
        <v>166</v>
      </c>
      <c r="P12" s="178">
        <f>2.13/1000</f>
        <v>2.1299999999999999E-3</v>
      </c>
    </row>
    <row r="13" spans="3:16" x14ac:dyDescent="0.25">
      <c r="C13" s="261"/>
      <c r="D13" s="261"/>
      <c r="E13" s="261"/>
      <c r="F13" s="261"/>
      <c r="G13" s="286"/>
      <c r="H13" s="280"/>
      <c r="I13" s="68" t="s">
        <v>86</v>
      </c>
      <c r="J13" s="29" t="s">
        <v>18</v>
      </c>
      <c r="K13" s="29"/>
      <c r="L13" s="29"/>
      <c r="M13" s="56">
        <f>1.56/1000</f>
        <v>1.56E-3</v>
      </c>
      <c r="N13" s="56">
        <f>30.47/1000</f>
        <v>3.0470000000000001E-2</v>
      </c>
      <c r="O13" s="56" t="s">
        <v>166</v>
      </c>
      <c r="P13" s="178">
        <f>1.21/1000</f>
        <v>1.2099999999999999E-3</v>
      </c>
    </row>
    <row r="14" spans="3:16" x14ac:dyDescent="0.25">
      <c r="C14" s="261"/>
      <c r="D14" s="261"/>
      <c r="E14" s="261"/>
      <c r="F14" s="261"/>
      <c r="G14" s="286"/>
      <c r="H14" s="280"/>
      <c r="I14" s="68" t="s">
        <v>87</v>
      </c>
      <c r="J14" s="29" t="s">
        <v>19</v>
      </c>
      <c r="K14" s="29"/>
      <c r="L14" s="29"/>
      <c r="M14" s="56" t="s">
        <v>218</v>
      </c>
      <c r="N14" s="56">
        <f>25.97/1000</f>
        <v>2.597E-2</v>
      </c>
      <c r="O14" s="56" t="s">
        <v>166</v>
      </c>
      <c r="P14" s="178">
        <f>1.91/1000</f>
        <v>1.91E-3</v>
      </c>
    </row>
    <row r="15" spans="3:16" x14ac:dyDescent="0.25">
      <c r="C15" s="261"/>
      <c r="D15" s="261"/>
      <c r="E15" s="261"/>
      <c r="F15" s="261"/>
      <c r="G15" s="287"/>
      <c r="H15" s="281"/>
      <c r="I15" s="68" t="s">
        <v>88</v>
      </c>
      <c r="J15" s="29" t="s">
        <v>20</v>
      </c>
      <c r="K15" s="29"/>
      <c r="L15" s="29"/>
      <c r="M15" s="112">
        <f>34.22/1000</f>
        <v>3.422E-2</v>
      </c>
      <c r="N15" s="56">
        <f>99.06/1000</f>
        <v>9.9060000000000009E-2</v>
      </c>
      <c r="O15" s="56" t="s">
        <v>166</v>
      </c>
      <c r="P15" s="178">
        <f>5.58/1000</f>
        <v>5.5799999999999999E-3</v>
      </c>
    </row>
    <row r="16" spans="3:16" x14ac:dyDescent="0.25">
      <c r="C16" s="261"/>
      <c r="D16" s="261"/>
      <c r="E16" s="261"/>
      <c r="F16" s="261"/>
      <c r="G16" s="65" t="s">
        <v>21</v>
      </c>
      <c r="H16" s="36" t="s">
        <v>119</v>
      </c>
      <c r="I16" s="32"/>
      <c r="J16" s="19" t="s">
        <v>22</v>
      </c>
      <c r="K16" s="19"/>
      <c r="L16" s="19"/>
      <c r="M16" s="70" t="s">
        <v>166</v>
      </c>
      <c r="N16" s="70" t="s">
        <v>166</v>
      </c>
      <c r="O16" s="70" t="s">
        <v>166</v>
      </c>
      <c r="P16" s="70" t="s">
        <v>166</v>
      </c>
    </row>
    <row r="17" spans="3:16" x14ac:dyDescent="0.25">
      <c r="C17" s="261"/>
      <c r="D17" s="261"/>
      <c r="E17" s="261"/>
      <c r="F17" s="261"/>
      <c r="G17" s="65" t="s">
        <v>23</v>
      </c>
      <c r="H17" s="18" t="s">
        <v>24</v>
      </c>
      <c r="I17" s="18"/>
      <c r="J17" s="231" t="s">
        <v>25</v>
      </c>
      <c r="K17" s="231"/>
      <c r="L17" s="231"/>
      <c r="M17" s="165" t="s">
        <v>166</v>
      </c>
      <c r="N17" s="165" t="s">
        <v>166</v>
      </c>
      <c r="O17" s="165" t="s">
        <v>166</v>
      </c>
      <c r="P17" s="165" t="s">
        <v>166</v>
      </c>
    </row>
    <row r="18" spans="3:16" x14ac:dyDescent="0.25">
      <c r="C18" s="261"/>
      <c r="D18" s="261"/>
      <c r="E18" s="261"/>
      <c r="F18" s="261"/>
      <c r="G18" s="282">
        <v>1601</v>
      </c>
      <c r="H18" s="283" t="s">
        <v>26</v>
      </c>
      <c r="I18" s="19">
        <v>20</v>
      </c>
      <c r="J18" s="19" t="s">
        <v>27</v>
      </c>
      <c r="K18" s="19"/>
      <c r="L18" s="19"/>
      <c r="M18" s="148" t="s">
        <v>113</v>
      </c>
      <c r="N18" s="148" t="s">
        <v>113</v>
      </c>
      <c r="O18" s="148" t="s">
        <v>113</v>
      </c>
      <c r="P18" s="165" t="s">
        <v>166</v>
      </c>
    </row>
    <row r="19" spans="3:16" x14ac:dyDescent="0.25">
      <c r="C19" s="261"/>
      <c r="D19" s="261"/>
      <c r="E19" s="261"/>
      <c r="F19" s="261"/>
      <c r="G19" s="282"/>
      <c r="H19" s="283"/>
      <c r="I19" s="19">
        <v>17</v>
      </c>
      <c r="J19" s="19" t="s">
        <v>28</v>
      </c>
      <c r="K19" s="19"/>
      <c r="L19" s="19"/>
      <c r="M19" s="148" t="s">
        <v>113</v>
      </c>
      <c r="N19" s="148" t="s">
        <v>113</v>
      </c>
      <c r="O19" s="148" t="s">
        <v>113</v>
      </c>
      <c r="P19" s="165" t="s">
        <v>166</v>
      </c>
    </row>
    <row r="20" spans="3:16" x14ac:dyDescent="0.25">
      <c r="C20" s="261"/>
      <c r="D20" s="261"/>
      <c r="E20" s="261"/>
      <c r="F20" s="261"/>
      <c r="G20" s="282"/>
      <c r="H20" s="283"/>
      <c r="I20" s="19">
        <v>21</v>
      </c>
      <c r="J20" s="19" t="s">
        <v>29</v>
      </c>
      <c r="K20" s="19"/>
      <c r="L20" s="19"/>
      <c r="M20" s="148" t="s">
        <v>113</v>
      </c>
      <c r="N20" s="148" t="s">
        <v>113</v>
      </c>
      <c r="O20" s="148" t="s">
        <v>113</v>
      </c>
      <c r="P20" s="165" t="s">
        <v>166</v>
      </c>
    </row>
    <row r="21" spans="3:16" x14ac:dyDescent="0.25">
      <c r="C21" s="261"/>
      <c r="D21" s="261"/>
      <c r="E21" s="261"/>
      <c r="F21" s="261"/>
      <c r="G21" s="282"/>
      <c r="H21" s="283"/>
      <c r="I21" s="19">
        <v>24</v>
      </c>
      <c r="J21" s="19" t="s">
        <v>30</v>
      </c>
      <c r="K21" s="19"/>
      <c r="L21" s="19"/>
      <c r="M21" s="148" t="s">
        <v>113</v>
      </c>
      <c r="N21" s="148" t="s">
        <v>113</v>
      </c>
      <c r="O21" s="148" t="s">
        <v>113</v>
      </c>
      <c r="P21" s="165" t="s">
        <v>166</v>
      </c>
    </row>
    <row r="22" spans="3:16" x14ac:dyDescent="0.25">
      <c r="C22" s="278"/>
      <c r="D22" s="278"/>
      <c r="E22" s="278"/>
      <c r="F22" s="278"/>
      <c r="G22" s="282"/>
      <c r="H22" s="283"/>
      <c r="I22" s="19">
        <v>25</v>
      </c>
      <c r="J22" s="19" t="s">
        <v>31</v>
      </c>
      <c r="K22" s="19"/>
      <c r="L22" s="19"/>
      <c r="M22" s="148" t="s">
        <v>113</v>
      </c>
      <c r="N22" s="148" t="s">
        <v>113</v>
      </c>
      <c r="O22" s="148" t="s">
        <v>113</v>
      </c>
      <c r="P22" s="165" t="s">
        <v>166</v>
      </c>
    </row>
    <row r="23" spans="3:16" x14ac:dyDescent="0.25">
      <c r="C23" s="257" t="s">
        <v>32</v>
      </c>
      <c r="D23" s="258" t="s">
        <v>33</v>
      </c>
      <c r="E23" s="285">
        <v>23</v>
      </c>
      <c r="F23" s="258" t="s">
        <v>34</v>
      </c>
      <c r="G23" s="260">
        <v>2319</v>
      </c>
      <c r="H23" s="306" t="s">
        <v>51</v>
      </c>
      <c r="I23" s="19" t="s">
        <v>185</v>
      </c>
      <c r="J23" s="232" t="s">
        <v>35</v>
      </c>
      <c r="K23" s="19" t="s">
        <v>92</v>
      </c>
      <c r="L23" s="182" t="s">
        <v>36</v>
      </c>
      <c r="M23" s="56">
        <f>198303.0984*(3.17/100000000)</f>
        <v>6.2862082192799993E-3</v>
      </c>
      <c r="N23" s="61">
        <f>98695.0656*(3.17/100000000)</f>
        <v>3.1286335795200002E-3</v>
      </c>
      <c r="O23" s="56">
        <f>170573.4936*(3.17/100000000)</f>
        <v>5.4071797471199994E-3</v>
      </c>
      <c r="P23" s="56">
        <f>627006.3206*(3.17/100000000)</f>
        <v>1.987610036302E-2</v>
      </c>
    </row>
    <row r="24" spans="3:16" x14ac:dyDescent="0.25">
      <c r="C24" s="257"/>
      <c r="D24" s="288"/>
      <c r="E24" s="286"/>
      <c r="F24" s="288"/>
      <c r="G24" s="261"/>
      <c r="H24" s="307"/>
      <c r="I24" s="19" t="s">
        <v>186</v>
      </c>
      <c r="J24" s="232" t="s">
        <v>37</v>
      </c>
      <c r="K24" s="19" t="s">
        <v>93</v>
      </c>
      <c r="L24" s="182" t="s">
        <v>38</v>
      </c>
      <c r="M24" s="56">
        <f>459004.9032*(3.17/100000000)</f>
        <v>1.455045543144E-2</v>
      </c>
      <c r="N24" s="56">
        <f>678812.4*(3.17/100000000)</f>
        <v>2.151835308E-2</v>
      </c>
      <c r="O24" s="56">
        <f>32575237.34*(3.17/100000000)</f>
        <v>1.032635023678</v>
      </c>
      <c r="P24" s="56">
        <f>1635224.855*(3.17/100000000)</f>
        <v>5.18366279035E-2</v>
      </c>
    </row>
    <row r="25" spans="3:16" x14ac:dyDescent="0.25">
      <c r="C25" s="257"/>
      <c r="D25" s="288"/>
      <c r="E25" s="286"/>
      <c r="F25" s="288"/>
      <c r="G25" s="261"/>
      <c r="H25" s="307"/>
      <c r="I25" s="19" t="s">
        <v>187</v>
      </c>
      <c r="J25" s="304" t="s">
        <v>39</v>
      </c>
      <c r="K25" s="19" t="s">
        <v>94</v>
      </c>
      <c r="L25" s="182" t="s">
        <v>40</v>
      </c>
      <c r="M25" s="178">
        <f>47857.4568*(3.17/100000000)</f>
        <v>1.5170813805599999E-3</v>
      </c>
      <c r="N25" s="178">
        <f>3528.8784*(3.17/100000000)</f>
        <v>1.1186544527999999E-4</v>
      </c>
      <c r="O25" s="178">
        <f>97190.7984*(3.17/100000000)</f>
        <v>3.0809483092800001E-3</v>
      </c>
      <c r="P25" s="56">
        <f>356604.0422*(3.17/100000000)</f>
        <v>1.130434813774E-2</v>
      </c>
    </row>
    <row r="26" spans="3:16" x14ac:dyDescent="0.25">
      <c r="C26" s="257"/>
      <c r="D26" s="288"/>
      <c r="E26" s="286"/>
      <c r="F26" s="288"/>
      <c r="G26" s="261"/>
      <c r="H26" s="307"/>
      <c r="I26" s="19" t="s">
        <v>187</v>
      </c>
      <c r="J26" s="304"/>
      <c r="K26" s="19" t="s">
        <v>95</v>
      </c>
      <c r="L26" s="182" t="s">
        <v>41</v>
      </c>
      <c r="M26" s="56">
        <f>274831.5096*(3.17/100000000)</f>
        <v>8.7121588543199995E-3</v>
      </c>
      <c r="N26" s="178">
        <f>4995.3024*(3.17/100000000)</f>
        <v>1.5835108608E-4</v>
      </c>
      <c r="O26" s="56">
        <f>555628.0536*(3.17/100000000)</f>
        <v>1.761340929912E-2</v>
      </c>
      <c r="P26" s="56">
        <f>417859.5686*(3.17/100000000)</f>
        <v>1.324614832462E-2</v>
      </c>
    </row>
    <row r="27" spans="3:16" x14ac:dyDescent="0.25">
      <c r="C27" s="257"/>
      <c r="D27" s="288"/>
      <c r="E27" s="286"/>
      <c r="F27" s="288"/>
      <c r="G27" s="261"/>
      <c r="H27" s="307"/>
      <c r="I27" s="19" t="s">
        <v>187</v>
      </c>
      <c r="J27" s="304"/>
      <c r="K27" s="19" t="s">
        <v>96</v>
      </c>
      <c r="L27" s="182" t="s">
        <v>42</v>
      </c>
      <c r="M27" s="178">
        <f>10217.664*(3.17/100000000)</f>
        <v>3.2389994879999999E-4</v>
      </c>
      <c r="N27" s="178">
        <f>1026.4968*(3.17/100000000)</f>
        <v>3.2539948559999998E-5</v>
      </c>
      <c r="O27" s="178">
        <v>0</v>
      </c>
      <c r="P27" s="56">
        <f>254508.1344*(3.17/100000000)</f>
        <v>8.0679078604800007E-3</v>
      </c>
    </row>
    <row r="28" spans="3:16" x14ac:dyDescent="0.25">
      <c r="C28" s="257"/>
      <c r="D28" s="288"/>
      <c r="E28" s="286"/>
      <c r="F28" s="288"/>
      <c r="G28" s="261"/>
      <c r="H28" s="307"/>
      <c r="I28" s="19" t="s">
        <v>187</v>
      </c>
      <c r="J28" s="304"/>
      <c r="K28" s="19" t="s">
        <v>97</v>
      </c>
      <c r="L28" s="182" t="s">
        <v>43</v>
      </c>
      <c r="M28" s="178">
        <f>106632.6768*(3.17/100000000)</f>
        <v>3.38025585456E-3</v>
      </c>
      <c r="N28" s="178">
        <f>15335.9568*(3.17/100000000)</f>
        <v>4.8614983055999996E-4</v>
      </c>
      <c r="O28" s="56">
        <f>39728510.38*(3.17/100000000)</f>
        <v>1.2593937790460001</v>
      </c>
      <c r="P28" s="56">
        <f>279545.1955*(3.17/100000000)</f>
        <v>8.8615826973499987E-3</v>
      </c>
    </row>
    <row r="29" spans="3:16" x14ac:dyDescent="0.25">
      <c r="C29" s="257"/>
      <c r="D29" s="288"/>
      <c r="E29" s="286"/>
      <c r="F29" s="288"/>
      <c r="G29" s="261"/>
      <c r="H29" s="307"/>
      <c r="I29" s="19" t="s">
        <v>181</v>
      </c>
      <c r="J29" s="305" t="s">
        <v>45</v>
      </c>
      <c r="K29" s="19" t="s">
        <v>102</v>
      </c>
      <c r="L29" s="182" t="s">
        <v>46</v>
      </c>
      <c r="M29" s="183">
        <f>(7.11409/100000000000000000000)+(2.46622/10000000000000000000)+(3.40883/10000000000000000000)</f>
        <v>6.5864589999999996E-19</v>
      </c>
      <c r="N29" s="70" t="s">
        <v>277</v>
      </c>
      <c r="O29" s="70" t="s">
        <v>281</v>
      </c>
      <c r="P29" s="70">
        <v>1.6999999999999999E-3</v>
      </c>
    </row>
    <row r="30" spans="3:16" x14ac:dyDescent="0.25">
      <c r="C30" s="257"/>
      <c r="D30" s="288"/>
      <c r="E30" s="286"/>
      <c r="F30" s="288"/>
      <c r="G30" s="261"/>
      <c r="H30" s="307"/>
      <c r="I30" s="19" t="s">
        <v>182</v>
      </c>
      <c r="J30" s="305"/>
      <c r="K30" s="19" t="s">
        <v>103</v>
      </c>
      <c r="L30" s="182" t="s">
        <v>47</v>
      </c>
      <c r="M30" s="184">
        <f>(1.32203/10000000000000000000)+(1.0434/10000000000000000000)+(1.14418/10000000000000000000)</f>
        <v>3.5096100000000007E-19</v>
      </c>
      <c r="N30" s="165" t="s">
        <v>277</v>
      </c>
      <c r="O30" s="165" t="s">
        <v>281</v>
      </c>
      <c r="P30" s="70">
        <v>9.1E-4</v>
      </c>
    </row>
    <row r="31" spans="3:16" x14ac:dyDescent="0.25">
      <c r="C31" s="257"/>
      <c r="D31" s="288"/>
      <c r="E31" s="286"/>
      <c r="F31" s="288"/>
      <c r="G31" s="261"/>
      <c r="H31" s="307"/>
      <c r="I31" s="19" t="s">
        <v>183</v>
      </c>
      <c r="J31" s="305"/>
      <c r="K31" s="19" t="s">
        <v>104</v>
      </c>
      <c r="L31" s="182" t="s">
        <v>48</v>
      </c>
      <c r="M31" s="184">
        <f>(3.97203/100000000000000000000)+(5.33557/1E+21)+(1.80224/10000000000000000000)+(1.07304/10000000000000000000)+(1.40504/10000000000000000000)+4.28624/10000000000000000000</f>
        <v>9.0171187000000002E-19</v>
      </c>
      <c r="N31" s="165" t="s">
        <v>277</v>
      </c>
      <c r="O31" s="165" t="s">
        <v>281</v>
      </c>
      <c r="P31" s="70">
        <v>2.3400000000000001E-3</v>
      </c>
    </row>
    <row r="32" spans="3:16" ht="25.5" x14ac:dyDescent="0.25">
      <c r="C32" s="257"/>
      <c r="D32" s="288"/>
      <c r="E32" s="286"/>
      <c r="F32" s="288"/>
      <c r="G32" s="261"/>
      <c r="H32" s="307"/>
      <c r="I32" s="19" t="s">
        <v>184</v>
      </c>
      <c r="J32" s="233" t="s">
        <v>49</v>
      </c>
      <c r="K32" s="19" t="s">
        <v>109</v>
      </c>
      <c r="L32" s="234" t="s">
        <v>50</v>
      </c>
      <c r="M32" s="165">
        <f>0.003267</f>
        <v>3.2669999999999999E-3</v>
      </c>
      <c r="N32" s="165">
        <v>2.0470000000000002E-3</v>
      </c>
      <c r="O32" s="165" t="s">
        <v>218</v>
      </c>
      <c r="P32" s="165">
        <v>2.8400000000000001E-3</v>
      </c>
    </row>
    <row r="33" spans="3:18" x14ac:dyDescent="0.25">
      <c r="C33" s="257"/>
      <c r="D33" s="288"/>
      <c r="E33" s="286"/>
      <c r="F33" s="288"/>
      <c r="G33" s="261"/>
      <c r="H33" s="307"/>
      <c r="I33" s="19" t="s">
        <v>188</v>
      </c>
      <c r="J33" s="191"/>
      <c r="K33" s="19" t="s">
        <v>98</v>
      </c>
      <c r="L33" s="235" t="s">
        <v>115</v>
      </c>
      <c r="M33" s="56">
        <f>596924.4456*(3.17/100000000)</f>
        <v>1.8922504925519997E-2</v>
      </c>
      <c r="N33" s="56">
        <f>436592.268*(3.17/100000000)</f>
        <v>1.3839974895599998E-2</v>
      </c>
      <c r="O33" s="56">
        <f>290247.8832*(3.17/100000000)</f>
        <v>9.2008578974399988E-3</v>
      </c>
      <c r="P33" s="56">
        <f>771188.9126*(3.17/100000000)</f>
        <v>2.4446688529420002E-2</v>
      </c>
    </row>
    <row r="34" spans="3:18" x14ac:dyDescent="0.25">
      <c r="C34" s="257"/>
      <c r="D34" s="288"/>
      <c r="E34" s="286"/>
      <c r="F34" s="288"/>
      <c r="G34" s="261"/>
      <c r="H34" s="307"/>
      <c r="I34" s="19"/>
      <c r="J34" s="236" t="s">
        <v>44</v>
      </c>
      <c r="K34" s="182"/>
      <c r="L34" s="182"/>
      <c r="M34" s="43" t="s">
        <v>166</v>
      </c>
      <c r="N34" s="43" t="s">
        <v>166</v>
      </c>
      <c r="O34" s="150" t="s">
        <v>166</v>
      </c>
      <c r="P34" s="150" t="s">
        <v>166</v>
      </c>
    </row>
    <row r="35" spans="3:18" x14ac:dyDescent="0.25">
      <c r="C35" s="257"/>
      <c r="D35" s="288"/>
      <c r="E35" s="287"/>
      <c r="F35" s="259"/>
      <c r="G35" s="278"/>
      <c r="H35" s="308"/>
      <c r="I35" s="19" t="s">
        <v>189</v>
      </c>
      <c r="J35" s="191"/>
      <c r="K35" s="19" t="s">
        <v>108</v>
      </c>
      <c r="L35" s="231" t="s">
        <v>107</v>
      </c>
      <c r="M35" s="70">
        <v>4.3400000000000001E-3</v>
      </c>
      <c r="N35" s="16">
        <v>5.3400000000000001E-3</v>
      </c>
      <c r="O35" s="70">
        <v>3.0000000000000001E-6</v>
      </c>
      <c r="P35" s="67">
        <v>8.7600000000000004E-3</v>
      </c>
    </row>
    <row r="36" spans="3:18" x14ac:dyDescent="0.25">
      <c r="C36" s="257"/>
      <c r="D36" s="259"/>
      <c r="E36" s="70">
        <v>24</v>
      </c>
      <c r="F36" s="70" t="s">
        <v>52</v>
      </c>
      <c r="G36" s="70">
        <v>2403</v>
      </c>
      <c r="H36" s="18" t="s">
        <v>120</v>
      </c>
      <c r="I36" s="18"/>
      <c r="J36" s="19" t="s">
        <v>53</v>
      </c>
      <c r="K36" s="19"/>
      <c r="L36" s="19"/>
      <c r="M36" s="43" t="s">
        <v>166</v>
      </c>
      <c r="N36" s="43" t="s">
        <v>166</v>
      </c>
      <c r="O36" s="150" t="s">
        <v>166</v>
      </c>
      <c r="P36" s="150" t="s">
        <v>166</v>
      </c>
    </row>
    <row r="37" spans="3:18" x14ac:dyDescent="0.25">
      <c r="C37" s="282">
        <v>3</v>
      </c>
      <c r="D37" s="260" t="s">
        <v>54</v>
      </c>
      <c r="E37" s="282">
        <v>37</v>
      </c>
      <c r="F37" s="260" t="s">
        <v>55</v>
      </c>
      <c r="G37" s="282">
        <v>3701</v>
      </c>
      <c r="H37" s="289" t="s">
        <v>56</v>
      </c>
      <c r="I37" s="19"/>
      <c r="J37" s="228"/>
      <c r="K37" s="228"/>
      <c r="L37" s="228"/>
      <c r="M37" s="43" t="s">
        <v>166</v>
      </c>
      <c r="N37" s="43" t="s">
        <v>166</v>
      </c>
      <c r="O37" s="150" t="s">
        <v>166</v>
      </c>
      <c r="P37" s="150" t="s">
        <v>166</v>
      </c>
    </row>
    <row r="38" spans="3:18" x14ac:dyDescent="0.25">
      <c r="C38" s="282"/>
      <c r="D38" s="278"/>
      <c r="E38" s="282"/>
      <c r="F38" s="278"/>
      <c r="G38" s="282"/>
      <c r="H38" s="289"/>
      <c r="I38" s="19"/>
      <c r="J38" s="228" t="s">
        <v>57</v>
      </c>
      <c r="K38" s="228"/>
      <c r="L38" s="228"/>
      <c r="M38" s="43" t="s">
        <v>166</v>
      </c>
      <c r="N38" s="43" t="s">
        <v>166</v>
      </c>
      <c r="O38" s="150" t="s">
        <v>166</v>
      </c>
      <c r="P38" s="150" t="s">
        <v>166</v>
      </c>
    </row>
    <row r="39" spans="3:18" x14ac:dyDescent="0.25">
      <c r="C39" s="15" t="s">
        <v>192</v>
      </c>
      <c r="J39" s="58"/>
      <c r="K39" s="58"/>
      <c r="L39" s="58"/>
      <c r="M39" s="185">
        <f>M4+M5+M6+M8+M10+M11+M13+M15+M23+M24+M25+M26+M27+M28+M29+M30+M31+M32+M33+M35</f>
        <v>1.3451995646144799</v>
      </c>
      <c r="N39" s="185">
        <f>N4+N5+N6+N7+N8+N9+N10+N11+N12+N13+N14+N15+N23+N24+N25+N26+N27+N28+N32+N33+N35</f>
        <v>0.86288286786559998</v>
      </c>
      <c r="O39" s="185">
        <f>O23+O24+O25+O26+O27+O28+O33+O35</f>
        <v>2.3273341979769602</v>
      </c>
      <c r="P39" s="185">
        <f t="shared" ref="P39" si="0">P4+P5+P6+P8+P10+P11+P13+P15+P23+P24+P25+P26+P27+P28+P29+P30+P31+P32+P33+P35</f>
        <v>0.19335940381613004</v>
      </c>
    </row>
    <row r="40" spans="3:18" x14ac:dyDescent="0.25">
      <c r="C40" t="s">
        <v>224</v>
      </c>
    </row>
    <row r="41" spans="3:18" x14ac:dyDescent="0.25">
      <c r="C41" t="s">
        <v>278</v>
      </c>
    </row>
    <row r="42" spans="3:18" ht="24.75" customHeight="1" x14ac:dyDescent="0.25">
      <c r="C42" s="186" t="s">
        <v>280</v>
      </c>
    </row>
    <row r="43" spans="3:18" x14ac:dyDescent="0.25">
      <c r="C43" t="s">
        <v>274</v>
      </c>
    </row>
    <row r="44" spans="3:18" x14ac:dyDescent="0.25">
      <c r="C44" t="s">
        <v>222</v>
      </c>
      <c r="P44" s="223">
        <f>SUM(M39:O39)</f>
        <v>4.53541663045704</v>
      </c>
    </row>
    <row r="45" spans="3:18" x14ac:dyDescent="0.25">
      <c r="C45" t="s">
        <v>227</v>
      </c>
      <c r="Q45" s="221" t="s">
        <v>214</v>
      </c>
      <c r="R45" s="222">
        <f>M39*100/P44</f>
        <v>29.659889580616593</v>
      </c>
    </row>
    <row r="46" spans="3:18" x14ac:dyDescent="0.25">
      <c r="C46" t="s">
        <v>226</v>
      </c>
      <c r="Q46" s="221" t="s">
        <v>215</v>
      </c>
      <c r="R46" s="222">
        <f>N39*100/P44</f>
        <v>19.025437752973229</v>
      </c>
    </row>
    <row r="47" spans="3:18" x14ac:dyDescent="0.25">
      <c r="C47" t="s">
        <v>225</v>
      </c>
      <c r="Q47" s="221" t="s">
        <v>279</v>
      </c>
      <c r="R47" s="222">
        <f>O39*100/P44</f>
        <v>51.314672666410182</v>
      </c>
    </row>
    <row r="48" spans="3:18" x14ac:dyDescent="0.25">
      <c r="C48" t="s">
        <v>228</v>
      </c>
    </row>
    <row r="49" spans="3:12" x14ac:dyDescent="0.25">
      <c r="C49" t="s">
        <v>276</v>
      </c>
    </row>
    <row r="52" spans="3:12" x14ac:dyDescent="0.25">
      <c r="C52" s="252" t="s">
        <v>0</v>
      </c>
      <c r="D52" s="252"/>
      <c r="E52" s="252" t="s">
        <v>1</v>
      </c>
      <c r="F52" s="252"/>
      <c r="G52" s="252" t="s">
        <v>2</v>
      </c>
      <c r="H52" s="252"/>
      <c r="I52" s="303" t="s">
        <v>213</v>
      </c>
      <c r="J52" s="252"/>
      <c r="K52" s="252"/>
      <c r="L52" s="252"/>
    </row>
    <row r="53" spans="3:12" ht="25.5" x14ac:dyDescent="0.25">
      <c r="C53" s="47" t="s">
        <v>127</v>
      </c>
      <c r="D53" s="47" t="s">
        <v>128</v>
      </c>
      <c r="E53" s="47" t="s">
        <v>127</v>
      </c>
      <c r="F53" s="47" t="s">
        <v>128</v>
      </c>
      <c r="G53" s="47" t="s">
        <v>127</v>
      </c>
      <c r="H53" s="47" t="s">
        <v>128</v>
      </c>
      <c r="I53" s="62" t="s">
        <v>214</v>
      </c>
      <c r="J53" s="62" t="s">
        <v>215</v>
      </c>
      <c r="K53" s="62" t="s">
        <v>216</v>
      </c>
      <c r="L53" s="62" t="s">
        <v>217</v>
      </c>
    </row>
    <row r="54" spans="3:12" ht="25.5" x14ac:dyDescent="0.25">
      <c r="C54" s="66">
        <v>1</v>
      </c>
      <c r="D54" s="66" t="s">
        <v>4</v>
      </c>
      <c r="E54" s="66">
        <v>16</v>
      </c>
      <c r="F54" s="66" t="s">
        <v>5</v>
      </c>
      <c r="G54" s="31">
        <v>1601</v>
      </c>
      <c r="H54" s="34" t="s">
        <v>26</v>
      </c>
      <c r="I54" s="146" t="s">
        <v>219</v>
      </c>
      <c r="J54" s="146" t="s">
        <v>220</v>
      </c>
      <c r="K54" s="146" t="s">
        <v>218</v>
      </c>
      <c r="L54" s="146" t="s">
        <v>221</v>
      </c>
    </row>
    <row r="56" spans="3:12" x14ac:dyDescent="0.25">
      <c r="C56" t="s">
        <v>223</v>
      </c>
    </row>
  </sheetData>
  <mergeCells count="34">
    <mergeCell ref="I52:L52"/>
    <mergeCell ref="C52:D52"/>
    <mergeCell ref="E52:F52"/>
    <mergeCell ref="G52:H52"/>
    <mergeCell ref="C37:C38"/>
    <mergeCell ref="D37:D38"/>
    <mergeCell ref="E37:E38"/>
    <mergeCell ref="F37:F38"/>
    <mergeCell ref="G37:G38"/>
    <mergeCell ref="H37:H38"/>
    <mergeCell ref="C23:C36"/>
    <mergeCell ref="D23:D36"/>
    <mergeCell ref="E23:E35"/>
    <mergeCell ref="F23:F35"/>
    <mergeCell ref="G23:G35"/>
    <mergeCell ref="H23:H35"/>
    <mergeCell ref="J25:J28"/>
    <mergeCell ref="J29:J31"/>
    <mergeCell ref="G6:G15"/>
    <mergeCell ref="H6:H15"/>
    <mergeCell ref="G18:G22"/>
    <mergeCell ref="H18:H22"/>
    <mergeCell ref="K2:L2"/>
    <mergeCell ref="M2:P2"/>
    <mergeCell ref="H4:H5"/>
    <mergeCell ref="C2:D2"/>
    <mergeCell ref="E2:F2"/>
    <mergeCell ref="G2:H2"/>
    <mergeCell ref="I2:J2"/>
    <mergeCell ref="C4:C22"/>
    <mergeCell ref="D4:D22"/>
    <mergeCell ref="E4:E22"/>
    <mergeCell ref="F4:F22"/>
    <mergeCell ref="G4:G5"/>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2:Q90"/>
  <sheetViews>
    <sheetView tabSelected="1" topLeftCell="C1" zoomScale="85" zoomScaleNormal="85" workbookViewId="0">
      <pane xSplit="2" ySplit="4" topLeftCell="E38" activePane="bottomRight" state="frozen"/>
      <selection activeCell="C1" sqref="C1"/>
      <selection pane="topRight" activeCell="E1" sqref="E1"/>
      <selection pane="bottomLeft" activeCell="C5" sqref="C5"/>
      <selection pane="bottomRight" activeCell="N52" sqref="N52"/>
    </sheetView>
  </sheetViews>
  <sheetFormatPr baseColWidth="10" defaultRowHeight="15" x14ac:dyDescent="0.25"/>
  <cols>
    <col min="3" max="3" width="13.85546875" bestFit="1" customWidth="1"/>
    <col min="4" max="4" width="15.85546875" bestFit="1" customWidth="1"/>
    <col min="8" max="8" width="12.5703125" style="50" bestFit="1" customWidth="1"/>
    <col min="9" max="9" width="15.140625" bestFit="1" customWidth="1"/>
    <col min="10" max="10" width="14.140625" bestFit="1" customWidth="1"/>
    <col min="11" max="11" width="15.7109375" customWidth="1"/>
    <col min="12" max="12" width="6" style="164" customWidth="1"/>
    <col min="13" max="13" width="29.7109375" customWidth="1"/>
    <col min="14" max="14" width="15.140625" bestFit="1" customWidth="1"/>
    <col min="17" max="17" width="17.42578125" customWidth="1"/>
  </cols>
  <sheetData>
    <row r="2" spans="3:17" x14ac:dyDescent="0.25">
      <c r="C2" s="230" t="s">
        <v>295</v>
      </c>
    </row>
    <row r="3" spans="3:17" ht="92.25" x14ac:dyDescent="0.25">
      <c r="C3" s="151" t="s">
        <v>229</v>
      </c>
      <c r="D3" s="152" t="s">
        <v>230</v>
      </c>
      <c r="E3" s="151" t="s">
        <v>349</v>
      </c>
      <c r="F3" s="151" t="s">
        <v>350</v>
      </c>
      <c r="G3" s="151" t="s">
        <v>348</v>
      </c>
      <c r="H3" s="151" t="s">
        <v>265</v>
      </c>
      <c r="I3" s="157" t="s">
        <v>271</v>
      </c>
      <c r="J3" s="157" t="s">
        <v>272</v>
      </c>
      <c r="K3" s="151" t="s">
        <v>273</v>
      </c>
      <c r="L3" s="162"/>
      <c r="M3" s="160" t="s">
        <v>263</v>
      </c>
      <c r="N3" s="155" t="s">
        <v>264</v>
      </c>
      <c r="O3" s="155" t="s">
        <v>265</v>
      </c>
      <c r="Q3" s="179"/>
    </row>
    <row r="4" spans="3:17" x14ac:dyDescent="0.25">
      <c r="C4" s="312" t="s">
        <v>309</v>
      </c>
      <c r="D4" s="313"/>
      <c r="E4" s="313"/>
      <c r="F4" s="313"/>
      <c r="G4" s="313"/>
      <c r="H4" s="313"/>
      <c r="I4" s="313"/>
      <c r="J4" s="313"/>
      <c r="K4" s="314"/>
      <c r="L4" s="162"/>
      <c r="M4" s="180" t="s">
        <v>266</v>
      </c>
      <c r="N4" s="156">
        <v>100</v>
      </c>
      <c r="O4" s="156">
        <v>150</v>
      </c>
      <c r="Q4" s="179"/>
    </row>
    <row r="5" spans="3:17" x14ac:dyDescent="0.25">
      <c r="C5" s="309" t="s">
        <v>262</v>
      </c>
      <c r="D5" s="244" t="s">
        <v>232</v>
      </c>
      <c r="E5" s="154">
        <v>1239</v>
      </c>
      <c r="F5" s="154">
        <v>993</v>
      </c>
      <c r="G5" s="154">
        <f>E5+F5</f>
        <v>2232</v>
      </c>
      <c r="H5" s="193">
        <v>150</v>
      </c>
      <c r="I5" s="200">
        <f>G5*H5</f>
        <v>334800</v>
      </c>
      <c r="J5" s="203">
        <f>I5*1.16/100000000</f>
        <v>3.88368E-3</v>
      </c>
      <c r="K5" s="201">
        <f>I5*1.16/100000</f>
        <v>3.88368</v>
      </c>
      <c r="L5" s="163"/>
      <c r="M5" s="180" t="s">
        <v>267</v>
      </c>
      <c r="N5" s="156">
        <v>120</v>
      </c>
      <c r="O5" s="156">
        <v>180</v>
      </c>
    </row>
    <row r="6" spans="3:17" x14ac:dyDescent="0.25">
      <c r="C6" s="310"/>
      <c r="D6" s="244" t="s">
        <v>233</v>
      </c>
      <c r="E6" s="154">
        <v>2146</v>
      </c>
      <c r="F6" s="154">
        <v>742</v>
      </c>
      <c r="G6" s="154">
        <f t="shared" ref="G6:G34" si="0">E6+F6</f>
        <v>2888</v>
      </c>
      <c r="H6" s="193">
        <v>180</v>
      </c>
      <c r="I6" s="158">
        <f t="shared" ref="I6:I33" si="1">G6*H6</f>
        <v>519840</v>
      </c>
      <c r="J6" s="204">
        <f>I6*1.16/100000000</f>
        <v>6.0301439999999994E-3</v>
      </c>
      <c r="K6" s="161">
        <f t="shared" ref="K6:K34" si="2">I6*1.16/100000</f>
        <v>6.0301439999999991</v>
      </c>
      <c r="L6" s="163"/>
      <c r="M6" s="180" t="s">
        <v>270</v>
      </c>
      <c r="N6" s="156">
        <v>130</v>
      </c>
      <c r="O6" s="156" t="s">
        <v>268</v>
      </c>
    </row>
    <row r="7" spans="3:17" x14ac:dyDescent="0.25">
      <c r="C7" s="310"/>
      <c r="D7" s="244" t="s">
        <v>234</v>
      </c>
      <c r="E7" s="154">
        <v>6623</v>
      </c>
      <c r="F7" s="154">
        <v>7415</v>
      </c>
      <c r="G7" s="154">
        <f t="shared" si="0"/>
        <v>14038</v>
      </c>
      <c r="H7" s="193">
        <v>180</v>
      </c>
      <c r="I7" s="158">
        <f t="shared" si="1"/>
        <v>2526840</v>
      </c>
      <c r="J7" s="204">
        <f t="shared" ref="J7:J9" si="3">I7*1.16/100000000</f>
        <v>2.9311344E-2</v>
      </c>
      <c r="K7" s="161">
        <f t="shared" si="2"/>
        <v>29.311343999999998</v>
      </c>
      <c r="L7" s="163"/>
      <c r="M7" s="180" t="s">
        <v>269</v>
      </c>
      <c r="N7" s="156">
        <v>150</v>
      </c>
      <c r="O7" s="156" t="s">
        <v>268</v>
      </c>
    </row>
    <row r="8" spans="3:17" x14ac:dyDescent="0.25">
      <c r="C8" s="310"/>
      <c r="D8" s="244" t="s">
        <v>235</v>
      </c>
      <c r="E8" s="154">
        <v>4323</v>
      </c>
      <c r="F8" s="154">
        <v>1586</v>
      </c>
      <c r="G8" s="154">
        <f t="shared" si="0"/>
        <v>5909</v>
      </c>
      <c r="H8" s="193">
        <v>180</v>
      </c>
      <c r="I8" s="158">
        <f t="shared" si="1"/>
        <v>1063620</v>
      </c>
      <c r="J8" s="204">
        <f t="shared" si="3"/>
        <v>1.2337991999999999E-2</v>
      </c>
      <c r="K8" s="161">
        <f t="shared" si="2"/>
        <v>12.337992</v>
      </c>
      <c r="L8" s="163"/>
    </row>
    <row r="9" spans="3:17" x14ac:dyDescent="0.25">
      <c r="C9" s="310"/>
      <c r="D9" s="244" t="s">
        <v>236</v>
      </c>
      <c r="E9" s="154">
        <v>3581</v>
      </c>
      <c r="F9" s="154">
        <v>1454</v>
      </c>
      <c r="G9" s="154">
        <f t="shared" si="0"/>
        <v>5035</v>
      </c>
      <c r="H9" s="193">
        <v>180</v>
      </c>
      <c r="I9" s="158">
        <f t="shared" si="1"/>
        <v>906300</v>
      </c>
      <c r="J9" s="204">
        <f t="shared" si="3"/>
        <v>1.0513079999999999E-2</v>
      </c>
      <c r="K9" s="161">
        <f t="shared" si="2"/>
        <v>10.51308</v>
      </c>
      <c r="L9" s="163"/>
    </row>
    <row r="10" spans="3:17" x14ac:dyDescent="0.25">
      <c r="C10" s="310"/>
      <c r="D10" s="244" t="s">
        <v>237</v>
      </c>
      <c r="E10" s="154">
        <v>32476</v>
      </c>
      <c r="F10" s="154">
        <v>150483</v>
      </c>
      <c r="G10" s="154">
        <f t="shared" si="0"/>
        <v>182959</v>
      </c>
      <c r="H10" s="193">
        <v>180</v>
      </c>
      <c r="I10" s="198">
        <f t="shared" si="1"/>
        <v>32932620</v>
      </c>
      <c r="J10" s="205">
        <f>I10*1.16/100000000</f>
        <v>0.38201839199999993</v>
      </c>
      <c r="K10" s="199">
        <f t="shared" si="2"/>
        <v>382.01839199999995</v>
      </c>
      <c r="L10" s="163"/>
    </row>
    <row r="11" spans="3:17" x14ac:dyDescent="0.25">
      <c r="C11" s="310"/>
      <c r="D11" s="244" t="s">
        <v>238</v>
      </c>
      <c r="E11" s="154">
        <v>2168</v>
      </c>
      <c r="F11" s="154">
        <v>280</v>
      </c>
      <c r="G11" s="154">
        <f t="shared" si="0"/>
        <v>2448</v>
      </c>
      <c r="H11" s="193">
        <v>150</v>
      </c>
      <c r="I11" s="158">
        <f t="shared" si="1"/>
        <v>367200</v>
      </c>
      <c r="J11" s="204">
        <f>I11*1.16/100000000</f>
        <v>4.2595199999999993E-3</v>
      </c>
      <c r="K11" s="161">
        <f t="shared" si="2"/>
        <v>4.2595199999999993</v>
      </c>
      <c r="L11" s="163"/>
    </row>
    <row r="12" spans="3:17" x14ac:dyDescent="0.25">
      <c r="C12" s="310"/>
      <c r="D12" s="244" t="s">
        <v>239</v>
      </c>
      <c r="E12" s="154">
        <v>3053</v>
      </c>
      <c r="F12" s="154">
        <v>934</v>
      </c>
      <c r="G12" s="154">
        <f t="shared" si="0"/>
        <v>3987</v>
      </c>
      <c r="H12" s="193">
        <v>180</v>
      </c>
      <c r="I12" s="158">
        <f t="shared" si="1"/>
        <v>717660</v>
      </c>
      <c r="J12" s="204">
        <f t="shared" ref="J12:J14" si="4">I12*1.16/100000000</f>
        <v>8.3248560000000003E-3</v>
      </c>
      <c r="K12" s="161">
        <f t="shared" si="2"/>
        <v>8.3248560000000005</v>
      </c>
      <c r="L12" s="163"/>
    </row>
    <row r="13" spans="3:17" x14ac:dyDescent="0.25">
      <c r="C13" s="310"/>
      <c r="D13" s="244" t="s">
        <v>240</v>
      </c>
      <c r="E13" s="154">
        <v>7150</v>
      </c>
      <c r="F13" s="154">
        <v>568</v>
      </c>
      <c r="G13" s="154">
        <f t="shared" si="0"/>
        <v>7718</v>
      </c>
      <c r="H13" s="193">
        <v>180</v>
      </c>
      <c r="I13" s="158">
        <f t="shared" si="1"/>
        <v>1389240</v>
      </c>
      <c r="J13" s="204">
        <f t="shared" si="4"/>
        <v>1.6115183999999998E-2</v>
      </c>
      <c r="K13" s="161">
        <f t="shared" si="2"/>
        <v>16.115183999999999</v>
      </c>
      <c r="L13" s="163"/>
    </row>
    <row r="14" spans="3:17" x14ac:dyDescent="0.25">
      <c r="C14" s="311"/>
      <c r="D14" s="244" t="s">
        <v>241</v>
      </c>
      <c r="E14" s="154">
        <v>1146</v>
      </c>
      <c r="F14" s="154">
        <v>722</v>
      </c>
      <c r="G14" s="154">
        <f t="shared" si="0"/>
        <v>1868</v>
      </c>
      <c r="H14" s="193">
        <v>180</v>
      </c>
      <c r="I14" s="158">
        <f t="shared" si="1"/>
        <v>336240</v>
      </c>
      <c r="J14" s="204">
        <f t="shared" si="4"/>
        <v>3.9003839999999998E-3</v>
      </c>
      <c r="K14" s="161">
        <f t="shared" si="2"/>
        <v>3.9003839999999999</v>
      </c>
      <c r="L14" s="163"/>
    </row>
    <row r="15" spans="3:17" x14ac:dyDescent="0.25">
      <c r="C15" s="316" t="s">
        <v>231</v>
      </c>
      <c r="D15" s="244" t="s">
        <v>261</v>
      </c>
      <c r="E15" s="154">
        <v>16351</v>
      </c>
      <c r="F15" s="154">
        <v>17580</v>
      </c>
      <c r="G15" s="154">
        <f t="shared" si="0"/>
        <v>33931</v>
      </c>
      <c r="H15" s="193">
        <v>180</v>
      </c>
      <c r="I15" s="198">
        <f t="shared" si="1"/>
        <v>6107580</v>
      </c>
      <c r="J15" s="205">
        <f>I15*1.16/100000000</f>
        <v>7.0847928000000004E-2</v>
      </c>
      <c r="K15" s="199">
        <f t="shared" si="2"/>
        <v>70.847927999999996</v>
      </c>
      <c r="L15" s="163"/>
    </row>
    <row r="16" spans="3:17" x14ac:dyDescent="0.25">
      <c r="C16" s="316"/>
      <c r="D16" s="244" t="s">
        <v>252</v>
      </c>
      <c r="E16" s="154">
        <v>7720</v>
      </c>
      <c r="F16" s="154">
        <v>2336</v>
      </c>
      <c r="G16" s="154">
        <f t="shared" si="0"/>
        <v>10056</v>
      </c>
      <c r="H16" s="193">
        <v>180</v>
      </c>
      <c r="I16" s="158">
        <f t="shared" si="1"/>
        <v>1810080</v>
      </c>
      <c r="J16" s="204">
        <f>I16*1.16/100000000</f>
        <v>2.0996927999999998E-2</v>
      </c>
      <c r="K16" s="161">
        <f t="shared" si="2"/>
        <v>20.996927999999997</v>
      </c>
      <c r="L16" s="163"/>
    </row>
    <row r="17" spans="3:12" x14ac:dyDescent="0.25">
      <c r="C17" s="316"/>
      <c r="D17" s="244" t="s">
        <v>253</v>
      </c>
      <c r="E17" s="154">
        <v>5588</v>
      </c>
      <c r="F17" s="154">
        <v>3257</v>
      </c>
      <c r="G17" s="154">
        <f t="shared" si="0"/>
        <v>8845</v>
      </c>
      <c r="H17" s="193">
        <v>180</v>
      </c>
      <c r="I17" s="158">
        <f t="shared" si="1"/>
        <v>1592100</v>
      </c>
      <c r="J17" s="204">
        <f t="shared" ref="J17:J18" si="5">I17*1.16/100000000</f>
        <v>1.8468359999999996E-2</v>
      </c>
      <c r="K17" s="161">
        <f t="shared" si="2"/>
        <v>18.468359999999997</v>
      </c>
      <c r="L17" s="163"/>
    </row>
    <row r="18" spans="3:12" x14ac:dyDescent="0.25">
      <c r="C18" s="316"/>
      <c r="D18" s="244" t="s">
        <v>260</v>
      </c>
      <c r="E18" s="154">
        <v>6076</v>
      </c>
      <c r="F18" s="154">
        <v>598</v>
      </c>
      <c r="G18" s="154">
        <f t="shared" si="0"/>
        <v>6674</v>
      </c>
      <c r="H18" s="193">
        <v>180</v>
      </c>
      <c r="I18" s="158">
        <f t="shared" si="1"/>
        <v>1201320</v>
      </c>
      <c r="J18" s="204">
        <f t="shared" si="5"/>
        <v>1.3935312E-2</v>
      </c>
      <c r="K18" s="161">
        <f t="shared" si="2"/>
        <v>13.935312</v>
      </c>
      <c r="L18" s="163"/>
    </row>
    <row r="19" spans="3:12" x14ac:dyDescent="0.25">
      <c r="C19" s="316"/>
      <c r="D19" s="244" t="s">
        <v>255</v>
      </c>
      <c r="E19" s="154">
        <v>9331</v>
      </c>
      <c r="F19" s="154">
        <v>1867</v>
      </c>
      <c r="G19" s="154">
        <f t="shared" si="0"/>
        <v>11198</v>
      </c>
      <c r="H19" s="246">
        <v>180</v>
      </c>
      <c r="I19" s="200">
        <f t="shared" si="1"/>
        <v>2015640</v>
      </c>
      <c r="J19" s="203">
        <f t="shared" ref="J19:J34" si="6">I19*1.16/100000000</f>
        <v>2.3381423999999998E-2</v>
      </c>
      <c r="K19" s="201">
        <f t="shared" si="2"/>
        <v>23.381423999999999</v>
      </c>
      <c r="L19" s="163"/>
    </row>
    <row r="20" spans="3:12" x14ac:dyDescent="0.25">
      <c r="C20" s="316"/>
      <c r="D20" s="244" t="s">
        <v>244</v>
      </c>
      <c r="E20" s="154">
        <v>1926</v>
      </c>
      <c r="F20" s="154">
        <v>988</v>
      </c>
      <c r="G20" s="154">
        <f t="shared" si="0"/>
        <v>2914</v>
      </c>
      <c r="H20" s="193">
        <v>180</v>
      </c>
      <c r="I20" s="158">
        <f t="shared" si="1"/>
        <v>524520</v>
      </c>
      <c r="J20" s="204">
        <f t="shared" si="6"/>
        <v>6.0844319999999999E-3</v>
      </c>
      <c r="K20" s="161">
        <f t="shared" si="2"/>
        <v>6.0844319999999996</v>
      </c>
      <c r="L20" s="163"/>
    </row>
    <row r="21" spans="3:12" x14ac:dyDescent="0.25">
      <c r="C21" s="316"/>
      <c r="D21" s="244" t="s">
        <v>251</v>
      </c>
      <c r="E21" s="154">
        <v>6725</v>
      </c>
      <c r="F21" s="154">
        <v>12133</v>
      </c>
      <c r="G21" s="154">
        <f t="shared" si="0"/>
        <v>18858</v>
      </c>
      <c r="H21" s="193">
        <v>180</v>
      </c>
      <c r="I21" s="158">
        <f t="shared" si="1"/>
        <v>3394440</v>
      </c>
      <c r="J21" s="204">
        <f t="shared" si="6"/>
        <v>3.9375503999999999E-2</v>
      </c>
      <c r="K21" s="161">
        <f t="shared" si="2"/>
        <v>39.375503999999999</v>
      </c>
      <c r="L21" s="163"/>
    </row>
    <row r="22" spans="3:12" x14ac:dyDescent="0.25">
      <c r="C22" s="316"/>
      <c r="D22" s="244" t="s">
        <v>242</v>
      </c>
      <c r="E22" s="154">
        <v>7717</v>
      </c>
      <c r="F22" s="154">
        <v>4677</v>
      </c>
      <c r="G22" s="154">
        <f t="shared" si="0"/>
        <v>12394</v>
      </c>
      <c r="H22" s="193">
        <v>180</v>
      </c>
      <c r="I22" s="158">
        <f t="shared" si="1"/>
        <v>2230920</v>
      </c>
      <c r="J22" s="204">
        <f t="shared" si="6"/>
        <v>2.5878671999999998E-2</v>
      </c>
      <c r="K22" s="161">
        <f t="shared" si="2"/>
        <v>25.878671999999998</v>
      </c>
      <c r="L22" s="163"/>
    </row>
    <row r="23" spans="3:12" x14ac:dyDescent="0.25">
      <c r="C23" s="316"/>
      <c r="D23" s="244" t="s">
        <v>250</v>
      </c>
      <c r="E23" s="154">
        <v>6904</v>
      </c>
      <c r="F23" s="154">
        <v>1571</v>
      </c>
      <c r="G23" s="154">
        <f t="shared" si="0"/>
        <v>8475</v>
      </c>
      <c r="H23" s="193">
        <v>180</v>
      </c>
      <c r="I23" s="158">
        <f t="shared" si="1"/>
        <v>1525500</v>
      </c>
      <c r="J23" s="204">
        <f t="shared" si="6"/>
        <v>1.7695799999999998E-2</v>
      </c>
      <c r="K23" s="161">
        <f t="shared" si="2"/>
        <v>17.695799999999998</v>
      </c>
      <c r="L23" s="163"/>
    </row>
    <row r="24" spans="3:12" x14ac:dyDescent="0.25">
      <c r="C24" s="316"/>
      <c r="D24" s="244" t="s">
        <v>257</v>
      </c>
      <c r="E24" s="154">
        <v>5105</v>
      </c>
      <c r="F24" s="154">
        <v>2589</v>
      </c>
      <c r="G24" s="154">
        <f t="shared" si="0"/>
        <v>7694</v>
      </c>
      <c r="H24" s="193">
        <v>180</v>
      </c>
      <c r="I24" s="158">
        <f t="shared" si="1"/>
        <v>1384920</v>
      </c>
      <c r="J24" s="204">
        <f t="shared" si="6"/>
        <v>1.6065072E-2</v>
      </c>
      <c r="K24" s="161">
        <f t="shared" si="2"/>
        <v>16.065072000000001</v>
      </c>
      <c r="L24" s="163"/>
    </row>
    <row r="25" spans="3:12" x14ac:dyDescent="0.25">
      <c r="C25" s="316"/>
      <c r="D25" s="244" t="s">
        <v>254</v>
      </c>
      <c r="E25" s="154">
        <v>10556</v>
      </c>
      <c r="F25" s="154">
        <v>1817</v>
      </c>
      <c r="G25" s="154">
        <f t="shared" si="0"/>
        <v>12373</v>
      </c>
      <c r="H25" s="193">
        <v>180</v>
      </c>
      <c r="I25" s="158">
        <f t="shared" si="1"/>
        <v>2227140</v>
      </c>
      <c r="J25" s="204">
        <f t="shared" si="6"/>
        <v>2.5834823999999999E-2</v>
      </c>
      <c r="K25" s="161">
        <f t="shared" si="2"/>
        <v>25.834823999999998</v>
      </c>
      <c r="L25" s="163"/>
    </row>
    <row r="26" spans="3:12" x14ac:dyDescent="0.25">
      <c r="C26" s="316"/>
      <c r="D26" s="244" t="s">
        <v>246</v>
      </c>
      <c r="E26" s="154">
        <v>4858</v>
      </c>
      <c r="F26" s="154">
        <v>1716</v>
      </c>
      <c r="G26" s="154">
        <f t="shared" si="0"/>
        <v>6574</v>
      </c>
      <c r="H26" s="193">
        <v>180</v>
      </c>
      <c r="I26" s="158">
        <f t="shared" si="1"/>
        <v>1183320</v>
      </c>
      <c r="J26" s="204">
        <f t="shared" si="6"/>
        <v>1.3726512E-2</v>
      </c>
      <c r="K26" s="161">
        <f t="shared" si="2"/>
        <v>13.726512</v>
      </c>
      <c r="L26" s="163"/>
    </row>
    <row r="27" spans="3:12" x14ac:dyDescent="0.25">
      <c r="C27" s="316"/>
      <c r="D27" s="244" t="s">
        <v>258</v>
      </c>
      <c r="E27" s="154">
        <v>2200</v>
      </c>
      <c r="F27" s="154">
        <v>1991</v>
      </c>
      <c r="G27" s="154">
        <f t="shared" si="0"/>
        <v>4191</v>
      </c>
      <c r="H27" s="193">
        <v>180</v>
      </c>
      <c r="I27" s="158">
        <f t="shared" si="1"/>
        <v>754380</v>
      </c>
      <c r="J27" s="204">
        <f t="shared" si="6"/>
        <v>8.7508079999999988E-3</v>
      </c>
      <c r="K27" s="161">
        <f t="shared" si="2"/>
        <v>8.7508079999999993</v>
      </c>
      <c r="L27" s="163"/>
    </row>
    <row r="28" spans="3:12" x14ac:dyDescent="0.25">
      <c r="C28" s="316"/>
      <c r="D28" s="244" t="s">
        <v>245</v>
      </c>
      <c r="E28" s="154">
        <v>3680</v>
      </c>
      <c r="F28" s="154">
        <v>850</v>
      </c>
      <c r="G28" s="154">
        <f t="shared" si="0"/>
        <v>4530</v>
      </c>
      <c r="H28" s="193">
        <v>180</v>
      </c>
      <c r="I28" s="158">
        <f t="shared" si="1"/>
        <v>815400</v>
      </c>
      <c r="J28" s="204">
        <f t="shared" si="6"/>
        <v>9.4586399999999991E-3</v>
      </c>
      <c r="K28" s="161">
        <f t="shared" si="2"/>
        <v>9.458639999999999</v>
      </c>
      <c r="L28" s="163"/>
    </row>
    <row r="29" spans="3:12" x14ac:dyDescent="0.25">
      <c r="C29" s="316"/>
      <c r="D29" s="244" t="s">
        <v>247</v>
      </c>
      <c r="E29" s="154">
        <v>3864</v>
      </c>
      <c r="F29" s="154">
        <v>50045</v>
      </c>
      <c r="G29" s="154">
        <f t="shared" si="0"/>
        <v>53909</v>
      </c>
      <c r="H29" s="193">
        <v>180</v>
      </c>
      <c r="I29" s="198">
        <f t="shared" si="1"/>
        <v>9703620</v>
      </c>
      <c r="J29" s="205">
        <f t="shared" si="6"/>
        <v>0.11256199199999999</v>
      </c>
      <c r="K29" s="199">
        <f t="shared" si="2"/>
        <v>112.56199199999999</v>
      </c>
      <c r="L29" s="163"/>
    </row>
    <row r="30" spans="3:12" x14ac:dyDescent="0.25">
      <c r="C30" s="316"/>
      <c r="D30" s="244" t="s">
        <v>249</v>
      </c>
      <c r="E30" s="154">
        <v>4599</v>
      </c>
      <c r="F30" s="154">
        <v>1194</v>
      </c>
      <c r="G30" s="154">
        <f t="shared" si="0"/>
        <v>5793</v>
      </c>
      <c r="H30" s="193">
        <v>180</v>
      </c>
      <c r="I30" s="158">
        <f t="shared" si="1"/>
        <v>1042740</v>
      </c>
      <c r="J30" s="204">
        <f t="shared" si="6"/>
        <v>1.2095783999999998E-2</v>
      </c>
      <c r="K30" s="161">
        <f t="shared" si="2"/>
        <v>12.095783999999998</v>
      </c>
      <c r="L30" s="163"/>
    </row>
    <row r="31" spans="3:12" x14ac:dyDescent="0.25">
      <c r="C31" s="316"/>
      <c r="D31" s="244" t="s">
        <v>256</v>
      </c>
      <c r="E31" s="154">
        <v>6628</v>
      </c>
      <c r="F31" s="154">
        <v>4100</v>
      </c>
      <c r="G31" s="154">
        <f t="shared" si="0"/>
        <v>10728</v>
      </c>
      <c r="H31" s="193">
        <v>180</v>
      </c>
      <c r="I31" s="158">
        <f t="shared" si="1"/>
        <v>1931040</v>
      </c>
      <c r="J31" s="204">
        <f t="shared" si="6"/>
        <v>2.2400064000000001E-2</v>
      </c>
      <c r="K31" s="161">
        <f t="shared" si="2"/>
        <v>22.400064</v>
      </c>
      <c r="L31" s="163"/>
    </row>
    <row r="32" spans="3:12" x14ac:dyDescent="0.25">
      <c r="C32" s="316"/>
      <c r="D32" s="244" t="s">
        <v>243</v>
      </c>
      <c r="E32" s="154">
        <v>5627</v>
      </c>
      <c r="F32" s="154">
        <v>919</v>
      </c>
      <c r="G32" s="154">
        <f t="shared" si="0"/>
        <v>6546</v>
      </c>
      <c r="H32" s="193">
        <v>180</v>
      </c>
      <c r="I32" s="158">
        <f t="shared" si="1"/>
        <v>1178280</v>
      </c>
      <c r="J32" s="204">
        <f t="shared" si="6"/>
        <v>1.3668047999999999E-2</v>
      </c>
      <c r="K32" s="161">
        <f t="shared" si="2"/>
        <v>13.668047999999999</v>
      </c>
      <c r="L32" s="163"/>
    </row>
    <row r="33" spans="3:14" x14ac:dyDescent="0.25">
      <c r="C33" s="316"/>
      <c r="D33" s="244" t="s">
        <v>248</v>
      </c>
      <c r="E33" s="154">
        <v>10665</v>
      </c>
      <c r="F33" s="154">
        <v>5660</v>
      </c>
      <c r="G33" s="154">
        <f t="shared" si="0"/>
        <v>16325</v>
      </c>
      <c r="H33" s="193">
        <v>180</v>
      </c>
      <c r="I33" s="158">
        <f t="shared" si="1"/>
        <v>2938500</v>
      </c>
      <c r="J33" s="204">
        <f t="shared" si="6"/>
        <v>3.4086599999999995E-2</v>
      </c>
      <c r="K33" s="161">
        <f t="shared" si="2"/>
        <v>34.086599999999997</v>
      </c>
      <c r="L33" s="163"/>
    </row>
    <row r="34" spans="3:14" x14ac:dyDescent="0.25">
      <c r="C34" s="316"/>
      <c r="D34" s="244" t="s">
        <v>259</v>
      </c>
      <c r="E34" s="154">
        <v>2931</v>
      </c>
      <c r="F34" s="154">
        <v>2372</v>
      </c>
      <c r="G34" s="154">
        <f t="shared" si="0"/>
        <v>5303</v>
      </c>
      <c r="H34" s="193">
        <v>180</v>
      </c>
      <c r="I34" s="158">
        <f>G34*H34</f>
        <v>954540</v>
      </c>
      <c r="J34" s="204">
        <f t="shared" si="6"/>
        <v>1.1072663999999999E-2</v>
      </c>
      <c r="K34" s="161">
        <f t="shared" si="2"/>
        <v>11.072664</v>
      </c>
      <c r="L34" s="163"/>
    </row>
    <row r="35" spans="3:14" x14ac:dyDescent="0.25">
      <c r="C35" s="315" t="s">
        <v>308</v>
      </c>
      <c r="D35" s="315"/>
      <c r="E35" s="194">
        <f>SUM(E5:E34)</f>
        <v>192956</v>
      </c>
      <c r="F35" s="194">
        <f t="shared" ref="F35:K35" si="7">SUM(F5:F34)</f>
        <v>283437</v>
      </c>
      <c r="G35" s="194">
        <f t="shared" si="7"/>
        <v>476393</v>
      </c>
      <c r="H35" s="197" t="s">
        <v>297</v>
      </c>
      <c r="I35" s="194">
        <f t="shared" si="7"/>
        <v>85610340</v>
      </c>
      <c r="J35" s="196">
        <f t="shared" si="7"/>
        <v>0.99307994399999977</v>
      </c>
      <c r="K35" s="195">
        <f t="shared" si="7"/>
        <v>993.07994399999984</v>
      </c>
      <c r="L35" s="238"/>
    </row>
    <row r="36" spans="3:14" x14ac:dyDescent="0.25">
      <c r="C36" s="312" t="s">
        <v>307</v>
      </c>
      <c r="D36" s="313"/>
      <c r="E36" s="313"/>
      <c r="F36" s="313"/>
      <c r="G36" s="313"/>
      <c r="H36" s="313"/>
      <c r="I36" s="313"/>
      <c r="J36" s="313"/>
      <c r="K36" s="314"/>
      <c r="M36" s="333">
        <f>I35</f>
        <v>85610340</v>
      </c>
      <c r="N36">
        <v>100</v>
      </c>
    </row>
    <row r="37" spans="3:14" x14ac:dyDescent="0.25">
      <c r="C37" s="309" t="s">
        <v>262</v>
      </c>
      <c r="D37" s="245" t="s">
        <v>301</v>
      </c>
      <c r="E37" s="154">
        <v>10112</v>
      </c>
      <c r="F37" s="154">
        <v>597316</v>
      </c>
      <c r="G37" s="154">
        <f t="shared" ref="G37:G45" si="8">E37+F37</f>
        <v>607428</v>
      </c>
      <c r="H37" s="193">
        <v>180</v>
      </c>
      <c r="I37" s="206">
        <f>G37*H37</f>
        <v>109337040</v>
      </c>
      <c r="J37" s="205">
        <f t="shared" ref="J37:J45" si="9">I37*1.16/100000000</f>
        <v>1.268309664</v>
      </c>
      <c r="K37" s="207">
        <f t="shared" ref="K37:K45" si="10">I37*1.16/100000</f>
        <v>1268.3096639999999</v>
      </c>
      <c r="M37" s="333">
        <f>I47</f>
        <v>467075700</v>
      </c>
      <c r="N37" s="333">
        <f>M37*N36</f>
        <v>46707570000</v>
      </c>
    </row>
    <row r="38" spans="3:14" x14ac:dyDescent="0.25">
      <c r="C38" s="310"/>
      <c r="D38" s="245" t="s">
        <v>298</v>
      </c>
      <c r="E38" s="154">
        <v>12172</v>
      </c>
      <c r="F38" s="154">
        <v>295724</v>
      </c>
      <c r="G38" s="154">
        <f t="shared" si="8"/>
        <v>307896</v>
      </c>
      <c r="H38" s="193">
        <v>180</v>
      </c>
      <c r="I38" s="202">
        <f t="shared" ref="I38:I45" si="11">G38*H38</f>
        <v>55421280</v>
      </c>
      <c r="J38" s="204">
        <f t="shared" si="9"/>
        <v>0.64288684799999996</v>
      </c>
      <c r="K38" s="159">
        <f t="shared" si="10"/>
        <v>642.88684799999999</v>
      </c>
      <c r="N38">
        <f>N37/M36</f>
        <v>545.58327884225196</v>
      </c>
    </row>
    <row r="39" spans="3:14" x14ac:dyDescent="0.25">
      <c r="C39" s="311"/>
      <c r="D39" s="245" t="s">
        <v>299</v>
      </c>
      <c r="E39" s="154">
        <v>19322</v>
      </c>
      <c r="F39" s="154">
        <v>152582</v>
      </c>
      <c r="G39" s="154">
        <f t="shared" si="8"/>
        <v>171904</v>
      </c>
      <c r="H39" s="193">
        <v>180</v>
      </c>
      <c r="I39" s="202">
        <f t="shared" si="11"/>
        <v>30942720</v>
      </c>
      <c r="J39" s="204">
        <f t="shared" si="9"/>
        <v>0.35893555199999994</v>
      </c>
      <c r="K39" s="159">
        <f t="shared" si="10"/>
        <v>358.93555199999997</v>
      </c>
      <c r="L39" s="238"/>
    </row>
    <row r="40" spans="3:14" x14ac:dyDescent="0.25">
      <c r="C40" s="309" t="s">
        <v>231</v>
      </c>
      <c r="D40" s="245" t="s">
        <v>351</v>
      </c>
      <c r="E40" s="154">
        <v>28158</v>
      </c>
      <c r="F40" s="154">
        <v>748948</v>
      </c>
      <c r="G40" s="154">
        <f t="shared" si="8"/>
        <v>777106</v>
      </c>
      <c r="H40" s="193">
        <v>180</v>
      </c>
      <c r="I40" s="206">
        <f t="shared" si="11"/>
        <v>139879080</v>
      </c>
      <c r="J40" s="205">
        <f t="shared" si="9"/>
        <v>1.6225973279999999</v>
      </c>
      <c r="K40" s="207">
        <f t="shared" si="10"/>
        <v>1622.5973279999998</v>
      </c>
    </row>
    <row r="41" spans="3:14" x14ac:dyDescent="0.25">
      <c r="C41" s="310"/>
      <c r="D41" s="245" t="s">
        <v>304</v>
      </c>
      <c r="E41" s="154">
        <v>11436</v>
      </c>
      <c r="F41" s="154">
        <v>17956</v>
      </c>
      <c r="G41" s="154">
        <f t="shared" si="8"/>
        <v>29392</v>
      </c>
      <c r="H41" s="193">
        <v>180</v>
      </c>
      <c r="I41" s="202">
        <f t="shared" si="11"/>
        <v>5290560</v>
      </c>
      <c r="J41" s="204">
        <f t="shared" si="9"/>
        <v>6.1370495999999997E-2</v>
      </c>
      <c r="K41" s="159">
        <f t="shared" si="10"/>
        <v>61.370495999999996</v>
      </c>
    </row>
    <row r="42" spans="3:14" x14ac:dyDescent="0.25">
      <c r="C42" s="310"/>
      <c r="D42" s="245" t="s">
        <v>303</v>
      </c>
      <c r="E42" s="154">
        <v>2373</v>
      </c>
      <c r="F42" s="154">
        <v>94847</v>
      </c>
      <c r="G42" s="154">
        <f t="shared" si="8"/>
        <v>97220</v>
      </c>
      <c r="H42" s="193">
        <v>180</v>
      </c>
      <c r="I42" s="202">
        <f t="shared" si="11"/>
        <v>17499600</v>
      </c>
      <c r="J42" s="204">
        <f t="shared" si="9"/>
        <v>0.20299536000000001</v>
      </c>
      <c r="K42" s="159">
        <f t="shared" si="10"/>
        <v>202.99536000000001</v>
      </c>
    </row>
    <row r="43" spans="3:14" x14ac:dyDescent="0.25">
      <c r="C43" s="310"/>
      <c r="D43" s="245" t="s">
        <v>305</v>
      </c>
      <c r="E43" s="154">
        <v>589</v>
      </c>
      <c r="F43" s="154">
        <v>8673</v>
      </c>
      <c r="G43" s="154">
        <f t="shared" si="8"/>
        <v>9262</v>
      </c>
      <c r="H43" s="193">
        <v>180</v>
      </c>
      <c r="I43" s="202">
        <f t="shared" si="11"/>
        <v>1667160</v>
      </c>
      <c r="J43" s="204">
        <f t="shared" si="9"/>
        <v>1.9339056E-2</v>
      </c>
      <c r="K43" s="159">
        <f t="shared" si="10"/>
        <v>19.339055999999999</v>
      </c>
    </row>
    <row r="44" spans="3:14" x14ac:dyDescent="0.25">
      <c r="C44" s="310"/>
      <c r="D44" s="245" t="s">
        <v>306</v>
      </c>
      <c r="E44" s="154">
        <v>5285</v>
      </c>
      <c r="F44" s="154">
        <v>2505</v>
      </c>
      <c r="G44" s="154">
        <f t="shared" si="8"/>
        <v>7790</v>
      </c>
      <c r="H44" s="193">
        <v>180</v>
      </c>
      <c r="I44" s="202">
        <f t="shared" si="11"/>
        <v>1402200</v>
      </c>
      <c r="J44" s="204">
        <f t="shared" si="9"/>
        <v>1.6265519999999999E-2</v>
      </c>
      <c r="K44" s="159">
        <f t="shared" si="10"/>
        <v>16.265519999999999</v>
      </c>
    </row>
    <row r="45" spans="3:14" x14ac:dyDescent="0.25">
      <c r="C45" s="311"/>
      <c r="D45" s="245" t="s">
        <v>302</v>
      </c>
      <c r="E45" s="154">
        <v>3263</v>
      </c>
      <c r="F45" s="154">
        <v>107991</v>
      </c>
      <c r="G45" s="154">
        <f t="shared" si="8"/>
        <v>111254</v>
      </c>
      <c r="H45" s="193">
        <v>180</v>
      </c>
      <c r="I45" s="202">
        <f t="shared" si="11"/>
        <v>20025720</v>
      </c>
      <c r="J45" s="204">
        <f t="shared" si="9"/>
        <v>0.23229835199999999</v>
      </c>
      <c r="K45" s="159">
        <f t="shared" si="10"/>
        <v>232.29835199999999</v>
      </c>
    </row>
    <row r="46" spans="3:14" x14ac:dyDescent="0.25">
      <c r="C46" s="315" t="s">
        <v>308</v>
      </c>
      <c r="D46" s="315"/>
      <c r="E46" s="194">
        <f>SUM(E37:E45)</f>
        <v>92710</v>
      </c>
      <c r="F46" s="194">
        <f t="shared" ref="F46:J46" si="12">SUM(F37:F45)</f>
        <v>2026542</v>
      </c>
      <c r="G46" s="194">
        <f t="shared" si="12"/>
        <v>2119252</v>
      </c>
      <c r="H46" s="197" t="s">
        <v>297</v>
      </c>
      <c r="I46" s="194">
        <f t="shared" si="12"/>
        <v>381465360</v>
      </c>
      <c r="J46" s="196">
        <f t="shared" si="12"/>
        <v>4.4249981759999999</v>
      </c>
      <c r="K46" s="194">
        <f>SUM(K37:K45)</f>
        <v>4424.9981759999991</v>
      </c>
      <c r="L46" s="237"/>
      <c r="M46">
        <v>2430.1799999999998</v>
      </c>
      <c r="N46">
        <v>100</v>
      </c>
    </row>
    <row r="47" spans="3:14" x14ac:dyDescent="0.25">
      <c r="C47" s="315" t="s">
        <v>310</v>
      </c>
      <c r="D47" s="315"/>
      <c r="E47" s="194">
        <f>E35+E46</f>
        <v>285666</v>
      </c>
      <c r="F47" s="194">
        <f t="shared" ref="F47:K47" si="13">F35+F46</f>
        <v>2309979</v>
      </c>
      <c r="G47" s="194">
        <f t="shared" si="13"/>
        <v>2595645</v>
      </c>
      <c r="H47" s="197" t="s">
        <v>297</v>
      </c>
      <c r="I47" s="194">
        <f t="shared" si="13"/>
        <v>467075700</v>
      </c>
      <c r="J47" s="196">
        <f>J35+J46</f>
        <v>5.4180781199999997</v>
      </c>
      <c r="K47" s="194">
        <f t="shared" si="13"/>
        <v>5418.0781199999992</v>
      </c>
      <c r="M47">
        <v>5.41</v>
      </c>
      <c r="N47">
        <f>M47*N46</f>
        <v>541</v>
      </c>
    </row>
    <row r="48" spans="3:14" x14ac:dyDescent="0.25">
      <c r="N48">
        <f>N47/M46</f>
        <v>0.2226172546889531</v>
      </c>
    </row>
    <row r="49" spans="4:14" x14ac:dyDescent="0.25">
      <c r="N49">
        <f>N46-N48</f>
        <v>99.777382745311044</v>
      </c>
    </row>
    <row r="50" spans="4:14" x14ac:dyDescent="0.25">
      <c r="H50" s="208"/>
    </row>
    <row r="51" spans="4:14" x14ac:dyDescent="0.25">
      <c r="D51" s="224" t="s">
        <v>230</v>
      </c>
      <c r="E51" s="224" t="s">
        <v>340</v>
      </c>
      <c r="H51" s="208"/>
    </row>
    <row r="52" spans="4:14" x14ac:dyDescent="0.25">
      <c r="D52" s="153" t="s">
        <v>232</v>
      </c>
      <c r="E52" s="192">
        <f>I5*100/I$47</f>
        <v>7.168002959691544E-2</v>
      </c>
    </row>
    <row r="53" spans="4:14" x14ac:dyDescent="0.25">
      <c r="D53" s="153" t="s">
        <v>233</v>
      </c>
      <c r="E53" s="192">
        <f t="shared" ref="E53:E81" si="14">I6*100/I$47</f>
        <v>0.11129673412682356</v>
      </c>
      <c r="M53" t="s">
        <v>352</v>
      </c>
    </row>
    <row r="54" spans="4:14" x14ac:dyDescent="0.25">
      <c r="D54" s="153" t="s">
        <v>234</v>
      </c>
      <c r="E54" s="192">
        <f t="shared" si="14"/>
        <v>0.54099153520510701</v>
      </c>
    </row>
    <row r="55" spans="4:14" x14ac:dyDescent="0.25">
      <c r="D55" s="153" t="s">
        <v>235</v>
      </c>
      <c r="E55" s="192">
        <f t="shared" si="14"/>
        <v>0.22771897574632977</v>
      </c>
    </row>
    <row r="56" spans="4:14" x14ac:dyDescent="0.25">
      <c r="D56" s="153" t="s">
        <v>236</v>
      </c>
      <c r="E56" s="192">
        <f t="shared" si="14"/>
        <v>0.1940370693658437</v>
      </c>
    </row>
    <row r="57" spans="4:14" x14ac:dyDescent="0.25">
      <c r="D57" s="153" t="s">
        <v>237</v>
      </c>
      <c r="E57" s="192">
        <f t="shared" si="14"/>
        <v>7.0508099650656204</v>
      </c>
    </row>
    <row r="58" spans="4:14" x14ac:dyDescent="0.25">
      <c r="D58" s="153" t="s">
        <v>238</v>
      </c>
      <c r="E58" s="192">
        <f t="shared" si="14"/>
        <v>7.8616806654681459E-2</v>
      </c>
    </row>
    <row r="59" spans="4:14" x14ac:dyDescent="0.25">
      <c r="D59" s="153" t="s">
        <v>239</v>
      </c>
      <c r="E59" s="192">
        <f t="shared" si="14"/>
        <v>0.15364961182951714</v>
      </c>
    </row>
    <row r="60" spans="4:14" x14ac:dyDescent="0.25">
      <c r="D60" s="153" t="s">
        <v>240</v>
      </c>
      <c r="E60" s="192">
        <f t="shared" si="14"/>
        <v>0.29743358517687818</v>
      </c>
    </row>
    <row r="61" spans="4:14" x14ac:dyDescent="0.25">
      <c r="D61" s="153" t="s">
        <v>241</v>
      </c>
      <c r="E61" s="192">
        <f t="shared" si="14"/>
        <v>7.198833079948283E-2</v>
      </c>
    </row>
    <row r="62" spans="4:14" x14ac:dyDescent="0.25">
      <c r="D62" s="153" t="s">
        <v>261</v>
      </c>
      <c r="E62" s="192">
        <f t="shared" si="14"/>
        <v>1.3076210130392141</v>
      </c>
    </row>
    <row r="63" spans="4:14" x14ac:dyDescent="0.25">
      <c r="D63" s="153" t="s">
        <v>252</v>
      </c>
      <c r="E63" s="192">
        <f t="shared" si="14"/>
        <v>0.38753461162719449</v>
      </c>
    </row>
    <row r="64" spans="4:14" x14ac:dyDescent="0.25">
      <c r="D64" s="153" t="s">
        <v>253</v>
      </c>
      <c r="E64" s="192">
        <f t="shared" si="14"/>
        <v>0.34086551708855761</v>
      </c>
    </row>
    <row r="65" spans="4:5" x14ac:dyDescent="0.25">
      <c r="D65" s="153" t="s">
        <v>260</v>
      </c>
      <c r="E65" s="192">
        <f t="shared" si="14"/>
        <v>0.25720027824183533</v>
      </c>
    </row>
    <row r="66" spans="4:5" x14ac:dyDescent="0.25">
      <c r="D66" s="153" t="s">
        <v>255</v>
      </c>
      <c r="E66" s="192">
        <f t="shared" si="14"/>
        <v>0.43154460829368774</v>
      </c>
    </row>
    <row r="67" spans="4:5" x14ac:dyDescent="0.25">
      <c r="D67" s="153" t="s">
        <v>244</v>
      </c>
      <c r="E67" s="192">
        <f t="shared" si="14"/>
        <v>0.11229871303516753</v>
      </c>
    </row>
    <row r="68" spans="4:5" x14ac:dyDescent="0.25">
      <c r="D68" s="153" t="s">
        <v>251</v>
      </c>
      <c r="E68" s="192">
        <f t="shared" si="14"/>
        <v>0.72674300975195238</v>
      </c>
    </row>
    <row r="69" spans="4:5" x14ac:dyDescent="0.25">
      <c r="D69" s="153" t="s">
        <v>242</v>
      </c>
      <c r="E69" s="192">
        <f t="shared" si="14"/>
        <v>0.47763563807751075</v>
      </c>
    </row>
    <row r="70" spans="4:5" x14ac:dyDescent="0.25">
      <c r="D70" s="153" t="s">
        <v>250</v>
      </c>
      <c r="E70" s="192">
        <f t="shared" si="14"/>
        <v>0.32660658646981633</v>
      </c>
    </row>
    <row r="71" spans="4:5" x14ac:dyDescent="0.25">
      <c r="D71" s="153" t="s">
        <v>257</v>
      </c>
      <c r="E71" s="192">
        <f t="shared" si="14"/>
        <v>0.29650868156917604</v>
      </c>
    </row>
    <row r="72" spans="4:5" x14ac:dyDescent="0.25">
      <c r="D72" s="153" t="s">
        <v>254</v>
      </c>
      <c r="E72" s="192">
        <f t="shared" si="14"/>
        <v>0.4768263474207714</v>
      </c>
    </row>
    <row r="73" spans="4:5" x14ac:dyDescent="0.25">
      <c r="D73" s="153" t="s">
        <v>246</v>
      </c>
      <c r="E73" s="192">
        <f t="shared" si="14"/>
        <v>0.25334651320974311</v>
      </c>
    </row>
    <row r="74" spans="4:5" x14ac:dyDescent="0.25">
      <c r="D74" s="153" t="s">
        <v>258</v>
      </c>
      <c r="E74" s="192">
        <f t="shared" si="14"/>
        <v>0.16151129249498528</v>
      </c>
    </row>
    <row r="75" spans="4:5" x14ac:dyDescent="0.25">
      <c r="D75" s="153" t="s">
        <v>245</v>
      </c>
      <c r="E75" s="192">
        <f t="shared" si="14"/>
        <v>0.17457555595377794</v>
      </c>
    </row>
    <row r="76" spans="4:5" x14ac:dyDescent="0.25">
      <c r="D76" s="153" t="s">
        <v>247</v>
      </c>
      <c r="E76" s="192">
        <f t="shared" si="14"/>
        <v>2.0775261911505996</v>
      </c>
    </row>
    <row r="77" spans="4:5" x14ac:dyDescent="0.25">
      <c r="D77" s="153" t="s">
        <v>249</v>
      </c>
      <c r="E77" s="192">
        <f t="shared" si="14"/>
        <v>0.22324860830910279</v>
      </c>
    </row>
    <row r="78" spans="4:5" x14ac:dyDescent="0.25">
      <c r="D78" s="153" t="s">
        <v>256</v>
      </c>
      <c r="E78" s="192">
        <f t="shared" si="14"/>
        <v>0.41343191264285423</v>
      </c>
    </row>
    <row r="79" spans="4:5" x14ac:dyDescent="0.25">
      <c r="D79" s="153" t="s">
        <v>243</v>
      </c>
      <c r="E79" s="192">
        <f t="shared" si="14"/>
        <v>0.25226745900075725</v>
      </c>
    </row>
    <row r="80" spans="4:5" x14ac:dyDescent="0.25">
      <c r="D80" s="153" t="s">
        <v>248</v>
      </c>
      <c r="E80" s="192">
        <f t="shared" si="14"/>
        <v>0.62912714148905624</v>
      </c>
    </row>
    <row r="81" spans="4:5" x14ac:dyDescent="0.25">
      <c r="D81" s="153" t="s">
        <v>259</v>
      </c>
      <c r="E81" s="192">
        <f t="shared" si="14"/>
        <v>0.20436515965185087</v>
      </c>
    </row>
    <row r="82" spans="4:5" x14ac:dyDescent="0.25">
      <c r="D82" s="147" t="s">
        <v>301</v>
      </c>
      <c r="E82" s="192">
        <f>I37*100/I$47</f>
        <v>23.408847859137179</v>
      </c>
    </row>
    <row r="83" spans="4:5" x14ac:dyDescent="0.25">
      <c r="D83" s="147" t="s">
        <v>298</v>
      </c>
      <c r="E83" s="192">
        <f t="shared" ref="E83:E90" si="15">I38*100/I$47</f>
        <v>11.865588383210687</v>
      </c>
    </row>
    <row r="84" spans="4:5" x14ac:dyDescent="0.25">
      <c r="D84" s="147" t="s">
        <v>299</v>
      </c>
      <c r="E84" s="192">
        <f t="shared" si="15"/>
        <v>6.6247762407678241</v>
      </c>
    </row>
    <row r="85" spans="4:5" x14ac:dyDescent="0.25">
      <c r="D85" s="147" t="s">
        <v>300</v>
      </c>
      <c r="E85" s="192">
        <f t="shared" si="15"/>
        <v>29.947839290290631</v>
      </c>
    </row>
    <row r="86" spans="4:5" x14ac:dyDescent="0.25">
      <c r="D86" s="147" t="s">
        <v>304</v>
      </c>
      <c r="E86" s="192">
        <f t="shared" si="15"/>
        <v>1.1326986182325478</v>
      </c>
    </row>
    <row r="87" spans="4:5" x14ac:dyDescent="0.25">
      <c r="D87" s="147" t="s">
        <v>303</v>
      </c>
      <c r="E87" s="192">
        <f t="shared" si="15"/>
        <v>3.7466303642000645</v>
      </c>
    </row>
    <row r="88" spans="4:5" x14ac:dyDescent="0.25">
      <c r="D88" s="147" t="s">
        <v>305</v>
      </c>
      <c r="E88" s="192">
        <f t="shared" si="15"/>
        <v>0.35693571727238216</v>
      </c>
    </row>
    <row r="89" spans="4:5" x14ac:dyDescent="0.25">
      <c r="D89" s="147" t="s">
        <v>306</v>
      </c>
      <c r="E89" s="192">
        <f t="shared" si="15"/>
        <v>0.30020829599998461</v>
      </c>
    </row>
    <row r="90" spans="4:5" x14ac:dyDescent="0.25">
      <c r="D90" s="147" t="s">
        <v>302</v>
      </c>
      <c r="E90" s="192">
        <f t="shared" si="15"/>
        <v>4.2874677488038877</v>
      </c>
    </row>
  </sheetData>
  <mergeCells count="9">
    <mergeCell ref="C40:C45"/>
    <mergeCell ref="C4:K4"/>
    <mergeCell ref="C46:D46"/>
    <mergeCell ref="C47:D47"/>
    <mergeCell ref="C5:C14"/>
    <mergeCell ref="C15:C34"/>
    <mergeCell ref="C35:D35"/>
    <mergeCell ref="C36:K36"/>
    <mergeCell ref="C37:C39"/>
  </mergeCell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2:L23"/>
  <sheetViews>
    <sheetView workbookViewId="0">
      <selection activeCell="I2" sqref="I2:L2"/>
    </sheetView>
  </sheetViews>
  <sheetFormatPr baseColWidth="10" defaultRowHeight="15" x14ac:dyDescent="0.25"/>
  <cols>
    <col min="3" max="3" width="4" bestFit="1" customWidth="1"/>
    <col min="5" max="5" width="4" bestFit="1" customWidth="1"/>
    <col min="7" max="7" width="5" bestFit="1" customWidth="1"/>
    <col min="8" max="8" width="13.5703125" bestFit="1" customWidth="1"/>
    <col min="10" max="10" width="11.42578125" style="50"/>
  </cols>
  <sheetData>
    <row r="2" spans="3:12" x14ac:dyDescent="0.25">
      <c r="I2" s="294" t="s">
        <v>296</v>
      </c>
      <c r="J2" s="294"/>
      <c r="K2" s="294"/>
      <c r="L2" s="294"/>
    </row>
    <row r="3" spans="3:12" x14ac:dyDescent="0.25">
      <c r="C3" s="252" t="s">
        <v>0</v>
      </c>
      <c r="D3" s="252"/>
      <c r="E3" s="252" t="s">
        <v>1</v>
      </c>
      <c r="F3" s="252"/>
      <c r="G3" s="252" t="s">
        <v>2</v>
      </c>
      <c r="H3" s="252"/>
      <c r="I3" s="252" t="s">
        <v>131</v>
      </c>
      <c r="J3" s="252"/>
      <c r="K3" s="252"/>
      <c r="L3" s="297"/>
    </row>
    <row r="4" spans="3:12" ht="25.5" x14ac:dyDescent="0.25">
      <c r="C4" s="47" t="s">
        <v>127</v>
      </c>
      <c r="D4" s="47" t="s">
        <v>128</v>
      </c>
      <c r="E4" s="47" t="s">
        <v>127</v>
      </c>
      <c r="F4" s="47" t="s">
        <v>128</v>
      </c>
      <c r="G4" s="47" t="s">
        <v>127</v>
      </c>
      <c r="H4" s="47" t="s">
        <v>128</v>
      </c>
      <c r="I4" s="47" t="s">
        <v>138</v>
      </c>
      <c r="J4" s="48" t="s">
        <v>123</v>
      </c>
      <c r="K4" s="47" t="s">
        <v>139</v>
      </c>
      <c r="L4" s="48" t="s">
        <v>123</v>
      </c>
    </row>
    <row r="5" spans="3:12" x14ac:dyDescent="0.25">
      <c r="C5" s="260">
        <v>1</v>
      </c>
      <c r="D5" s="260" t="s">
        <v>4</v>
      </c>
      <c r="E5" s="260">
        <v>16</v>
      </c>
      <c r="F5" s="260" t="s">
        <v>5</v>
      </c>
      <c r="G5" s="10">
        <v>1605</v>
      </c>
      <c r="H5" s="14" t="s">
        <v>6</v>
      </c>
      <c r="I5" s="21">
        <v>4</v>
      </c>
      <c r="J5" s="49" t="s">
        <v>111</v>
      </c>
      <c r="K5" s="21">
        <v>5</v>
      </c>
      <c r="L5" s="49" t="s">
        <v>112</v>
      </c>
    </row>
    <row r="6" spans="3:12" x14ac:dyDescent="0.25">
      <c r="C6" s="261"/>
      <c r="D6" s="261"/>
      <c r="E6" s="261"/>
      <c r="F6" s="261"/>
      <c r="G6" s="35" t="s">
        <v>9</v>
      </c>
      <c r="H6" s="36" t="s">
        <v>10</v>
      </c>
      <c r="I6" s="21">
        <v>3</v>
      </c>
      <c r="J6" s="49" t="s">
        <v>337</v>
      </c>
      <c r="K6" s="21">
        <v>4</v>
      </c>
      <c r="L6" s="49" t="s">
        <v>111</v>
      </c>
    </row>
    <row r="7" spans="3:12" ht="63.75" x14ac:dyDescent="0.25">
      <c r="C7" s="261"/>
      <c r="D7" s="261"/>
      <c r="E7" s="261"/>
      <c r="F7" s="261"/>
      <c r="G7" s="33" t="s">
        <v>21</v>
      </c>
      <c r="H7" s="37" t="s">
        <v>119</v>
      </c>
      <c r="I7" s="21">
        <v>1</v>
      </c>
      <c r="J7" s="49" t="s">
        <v>137</v>
      </c>
      <c r="K7" s="21">
        <v>3</v>
      </c>
      <c r="L7" s="49" t="s">
        <v>337</v>
      </c>
    </row>
    <row r="8" spans="3:12" x14ac:dyDescent="0.25">
      <c r="C8" s="261"/>
      <c r="D8" s="261"/>
      <c r="E8" s="261"/>
      <c r="F8" s="261"/>
      <c r="G8" s="33" t="s">
        <v>23</v>
      </c>
      <c r="H8" s="18" t="s">
        <v>24</v>
      </c>
      <c r="I8" s="21">
        <v>1</v>
      </c>
      <c r="J8" s="49" t="s">
        <v>137</v>
      </c>
      <c r="K8" s="21">
        <v>2</v>
      </c>
      <c r="L8" s="49" t="s">
        <v>136</v>
      </c>
    </row>
    <row r="9" spans="3:12" x14ac:dyDescent="0.25">
      <c r="C9" s="261"/>
      <c r="D9" s="261"/>
      <c r="E9" s="261"/>
      <c r="F9" s="261"/>
      <c r="G9" s="31">
        <v>1601</v>
      </c>
      <c r="H9" s="34" t="s">
        <v>26</v>
      </c>
      <c r="I9" s="21">
        <v>5</v>
      </c>
      <c r="J9" s="49" t="s">
        <v>112</v>
      </c>
      <c r="K9" s="21">
        <v>5</v>
      </c>
      <c r="L9" s="49" t="s">
        <v>112</v>
      </c>
    </row>
    <row r="10" spans="3:12" ht="38.25" x14ac:dyDescent="0.25">
      <c r="C10" s="257" t="s">
        <v>32</v>
      </c>
      <c r="D10" s="258" t="s">
        <v>33</v>
      </c>
      <c r="E10" s="2">
        <v>23</v>
      </c>
      <c r="F10" s="8" t="s">
        <v>34</v>
      </c>
      <c r="G10" s="38">
        <v>2319</v>
      </c>
      <c r="H10" s="37" t="s">
        <v>51</v>
      </c>
      <c r="I10" s="21">
        <v>4</v>
      </c>
      <c r="J10" s="49" t="s">
        <v>111</v>
      </c>
      <c r="K10" s="21">
        <v>5</v>
      </c>
      <c r="L10" s="49" t="s">
        <v>112</v>
      </c>
    </row>
    <row r="11" spans="3:12" x14ac:dyDescent="0.25">
      <c r="C11" s="257"/>
      <c r="D11" s="259"/>
      <c r="E11" s="10">
        <v>24</v>
      </c>
      <c r="F11" s="10" t="s">
        <v>52</v>
      </c>
      <c r="G11" s="31">
        <v>2403</v>
      </c>
      <c r="H11" s="19" t="s">
        <v>120</v>
      </c>
      <c r="I11" s="21">
        <v>4</v>
      </c>
      <c r="J11" s="49" t="s">
        <v>111</v>
      </c>
      <c r="K11" s="21">
        <v>5</v>
      </c>
      <c r="L11" s="49" t="s">
        <v>112</v>
      </c>
    </row>
    <row r="12" spans="3:12" x14ac:dyDescent="0.25">
      <c r="C12" s="10">
        <v>3</v>
      </c>
      <c r="D12" s="10" t="s">
        <v>206</v>
      </c>
      <c r="E12" s="10">
        <v>37</v>
      </c>
      <c r="F12" s="10" t="s">
        <v>55</v>
      </c>
      <c r="G12" s="31">
        <v>3701</v>
      </c>
      <c r="H12" s="19" t="s">
        <v>56</v>
      </c>
      <c r="I12" s="21">
        <v>2</v>
      </c>
      <c r="J12" s="49" t="s">
        <v>136</v>
      </c>
      <c r="K12" s="21">
        <v>3</v>
      </c>
      <c r="L12" s="49" t="s">
        <v>337</v>
      </c>
    </row>
    <row r="15" spans="3:12" ht="54" customHeight="1" x14ac:dyDescent="0.25">
      <c r="H15" s="299" t="s">
        <v>318</v>
      </c>
      <c r="I15" s="151" t="s">
        <v>311</v>
      </c>
      <c r="J15" s="151" t="s">
        <v>312</v>
      </c>
      <c r="K15" s="151" t="s">
        <v>311</v>
      </c>
      <c r="L15" s="151" t="s">
        <v>313</v>
      </c>
    </row>
    <row r="16" spans="3:12" x14ac:dyDescent="0.25">
      <c r="F16" s="63"/>
      <c r="H16" s="300"/>
      <c r="I16" s="301" t="s">
        <v>117</v>
      </c>
      <c r="J16" s="302"/>
      <c r="K16" s="301" t="s">
        <v>194</v>
      </c>
      <c r="L16" s="302"/>
    </row>
    <row r="17" spans="6:12" x14ac:dyDescent="0.25">
      <c r="F17" s="187"/>
      <c r="H17" s="31" t="s">
        <v>112</v>
      </c>
      <c r="I17" s="147">
        <v>1</v>
      </c>
      <c r="J17" s="192">
        <f>I17*100/I$23</f>
        <v>12.5</v>
      </c>
      <c r="K17" s="147">
        <v>4</v>
      </c>
      <c r="L17" s="159">
        <f>K17*100/K$23</f>
        <v>50</v>
      </c>
    </row>
    <row r="18" spans="6:12" x14ac:dyDescent="0.25">
      <c r="F18" s="187"/>
      <c r="H18" s="31" t="s">
        <v>111</v>
      </c>
      <c r="I18" s="147">
        <v>3</v>
      </c>
      <c r="J18" s="192">
        <f t="shared" ref="J18:J22" si="0">I18*100/I$23</f>
        <v>37.5</v>
      </c>
      <c r="K18" s="147">
        <v>1</v>
      </c>
      <c r="L18" s="159">
        <f t="shared" ref="L18:L22" si="1">K18*100/K$23</f>
        <v>12.5</v>
      </c>
    </row>
    <row r="19" spans="6:12" x14ac:dyDescent="0.25">
      <c r="F19" s="187"/>
      <c r="H19" s="31" t="s">
        <v>337</v>
      </c>
      <c r="I19" s="147">
        <v>1</v>
      </c>
      <c r="J19" s="192">
        <f t="shared" si="0"/>
        <v>12.5</v>
      </c>
      <c r="K19" s="147">
        <v>2</v>
      </c>
      <c r="L19" s="159">
        <f t="shared" si="1"/>
        <v>25</v>
      </c>
    </row>
    <row r="20" spans="6:12" x14ac:dyDescent="0.25">
      <c r="F20" s="187"/>
      <c r="H20" s="31" t="s">
        <v>136</v>
      </c>
      <c r="I20" s="147">
        <v>1</v>
      </c>
      <c r="J20" s="192">
        <f t="shared" si="0"/>
        <v>12.5</v>
      </c>
      <c r="K20" s="147">
        <v>1</v>
      </c>
      <c r="L20" s="159">
        <f t="shared" si="1"/>
        <v>12.5</v>
      </c>
    </row>
    <row r="21" spans="6:12" x14ac:dyDescent="0.25">
      <c r="F21" s="63"/>
      <c r="H21" s="31" t="s">
        <v>137</v>
      </c>
      <c r="I21" s="147">
        <v>2</v>
      </c>
      <c r="J21" s="192">
        <f t="shared" si="0"/>
        <v>25</v>
      </c>
      <c r="K21" s="147">
        <v>0</v>
      </c>
      <c r="L21" s="159">
        <f t="shared" si="1"/>
        <v>0</v>
      </c>
    </row>
    <row r="22" spans="6:12" x14ac:dyDescent="0.25">
      <c r="H22" s="31" t="s">
        <v>161</v>
      </c>
      <c r="I22" s="147">
        <v>0</v>
      </c>
      <c r="J22" s="192">
        <f t="shared" si="0"/>
        <v>0</v>
      </c>
      <c r="K22" s="147">
        <v>0</v>
      </c>
      <c r="L22" s="159">
        <f t="shared" si="1"/>
        <v>0</v>
      </c>
    </row>
    <row r="23" spans="6:12" x14ac:dyDescent="0.25">
      <c r="I23">
        <f>SUM(I17:I22)</f>
        <v>8</v>
      </c>
      <c r="K23" s="209">
        <v>8</v>
      </c>
    </row>
  </sheetData>
  <mergeCells count="14">
    <mergeCell ref="H15:H16"/>
    <mergeCell ref="I16:J16"/>
    <mergeCell ref="K16:L16"/>
    <mergeCell ref="I2:L2"/>
    <mergeCell ref="C10:C11"/>
    <mergeCell ref="D10:D11"/>
    <mergeCell ref="I3:L3"/>
    <mergeCell ref="C3:D3"/>
    <mergeCell ref="E3:F3"/>
    <mergeCell ref="G3:H3"/>
    <mergeCell ref="C5:C9"/>
    <mergeCell ref="D5:D9"/>
    <mergeCell ref="E5:E9"/>
    <mergeCell ref="F5:F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Q53"/>
  <sheetViews>
    <sheetView workbookViewId="0">
      <selection activeCell="L2" sqref="L2"/>
    </sheetView>
  </sheetViews>
  <sheetFormatPr baseColWidth="10" defaultRowHeight="15" x14ac:dyDescent="0.25"/>
  <cols>
    <col min="2" max="2" width="4.28515625" customWidth="1"/>
    <col min="4" max="4" width="4" bestFit="1" customWidth="1"/>
    <col min="6" max="6" width="5" bestFit="1" customWidth="1"/>
    <col min="9" max="9" width="17.28515625" customWidth="1"/>
    <col min="11" max="11" width="15.7109375" customWidth="1"/>
  </cols>
  <sheetData>
    <row r="2" spans="2:17" x14ac:dyDescent="0.25">
      <c r="L2" s="230" t="s">
        <v>317</v>
      </c>
    </row>
    <row r="3" spans="2:17" ht="15" customHeight="1" x14ac:dyDescent="0.25">
      <c r="B3" s="266" t="s">
        <v>0</v>
      </c>
      <c r="C3" s="266"/>
      <c r="D3" s="266" t="s">
        <v>1</v>
      </c>
      <c r="E3" s="266"/>
      <c r="F3" s="266" t="s">
        <v>2</v>
      </c>
      <c r="G3" s="266"/>
      <c r="H3" s="266" t="s">
        <v>190</v>
      </c>
      <c r="I3" s="267"/>
      <c r="J3" s="266" t="s">
        <v>191</v>
      </c>
      <c r="K3" s="267"/>
      <c r="L3" s="303" t="s">
        <v>131</v>
      </c>
      <c r="M3" s="252"/>
      <c r="N3" s="252"/>
      <c r="O3" s="252"/>
      <c r="Q3" t="s">
        <v>339</v>
      </c>
    </row>
    <row r="4" spans="2:17" ht="38.25" x14ac:dyDescent="0.25">
      <c r="B4" s="47" t="s">
        <v>127</v>
      </c>
      <c r="C4" s="47" t="s">
        <v>128</v>
      </c>
      <c r="D4" s="47" t="s">
        <v>127</v>
      </c>
      <c r="E4" s="47" t="s">
        <v>128</v>
      </c>
      <c r="F4" s="47" t="s">
        <v>127</v>
      </c>
      <c r="G4" s="47" t="s">
        <v>128</v>
      </c>
      <c r="H4" s="47" t="s">
        <v>127</v>
      </c>
      <c r="I4" s="47" t="s">
        <v>128</v>
      </c>
      <c r="J4" s="47" t="s">
        <v>127</v>
      </c>
      <c r="K4" s="47" t="s">
        <v>128</v>
      </c>
      <c r="L4" s="62" t="s">
        <v>320</v>
      </c>
      <c r="M4" s="48" t="s">
        <v>123</v>
      </c>
      <c r="N4" s="62" t="s">
        <v>321</v>
      </c>
      <c r="O4" s="48" t="s">
        <v>123</v>
      </c>
    </row>
    <row r="5" spans="2:17" x14ac:dyDescent="0.25">
      <c r="B5" s="260">
        <v>1</v>
      </c>
      <c r="C5" s="260" t="s">
        <v>4</v>
      </c>
      <c r="D5" s="260">
        <v>16</v>
      </c>
      <c r="E5" s="260" t="s">
        <v>5</v>
      </c>
      <c r="F5" s="282">
        <v>1605</v>
      </c>
      <c r="G5" s="284" t="s">
        <v>6</v>
      </c>
      <c r="H5" s="171" t="s">
        <v>77</v>
      </c>
      <c r="I5" s="29" t="s">
        <v>7</v>
      </c>
      <c r="J5" s="29"/>
      <c r="K5" s="29"/>
      <c r="L5" s="172">
        <v>1</v>
      </c>
      <c r="M5" s="172" t="s">
        <v>137</v>
      </c>
      <c r="N5" s="172">
        <v>2</v>
      </c>
      <c r="O5" s="172" t="s">
        <v>136</v>
      </c>
    </row>
    <row r="6" spans="2:17" x14ac:dyDescent="0.25">
      <c r="B6" s="261"/>
      <c r="C6" s="261"/>
      <c r="D6" s="261"/>
      <c r="E6" s="261"/>
      <c r="F6" s="282"/>
      <c r="G6" s="284"/>
      <c r="H6" s="171" t="s">
        <v>78</v>
      </c>
      <c r="I6" s="29" t="s">
        <v>8</v>
      </c>
      <c r="J6" s="29"/>
      <c r="K6" s="29"/>
      <c r="L6" s="172">
        <v>1</v>
      </c>
      <c r="M6" s="172" t="s">
        <v>137</v>
      </c>
      <c r="N6" s="172">
        <v>2</v>
      </c>
      <c r="O6" s="172" t="s">
        <v>136</v>
      </c>
    </row>
    <row r="7" spans="2:17" x14ac:dyDescent="0.25">
      <c r="B7" s="261"/>
      <c r="C7" s="261"/>
      <c r="D7" s="261"/>
      <c r="E7" s="261"/>
      <c r="F7" s="285" t="s">
        <v>9</v>
      </c>
      <c r="G7" s="279" t="s">
        <v>10</v>
      </c>
      <c r="H7" s="170" t="s">
        <v>79</v>
      </c>
      <c r="I7" s="29" t="s">
        <v>11</v>
      </c>
      <c r="J7" s="29"/>
      <c r="K7" s="29"/>
      <c r="L7" s="172">
        <v>2</v>
      </c>
      <c r="M7" s="172" t="s">
        <v>136</v>
      </c>
      <c r="N7" s="172">
        <v>3</v>
      </c>
      <c r="O7" s="172" t="s">
        <v>337</v>
      </c>
    </row>
    <row r="8" spans="2:17" x14ac:dyDescent="0.25">
      <c r="B8" s="261"/>
      <c r="C8" s="261"/>
      <c r="D8" s="261"/>
      <c r="E8" s="261"/>
      <c r="F8" s="286"/>
      <c r="G8" s="280"/>
      <c r="H8" s="170" t="s">
        <v>80</v>
      </c>
      <c r="I8" s="29" t="s">
        <v>12</v>
      </c>
      <c r="J8" s="29"/>
      <c r="K8" s="29"/>
      <c r="L8" s="172">
        <v>2</v>
      </c>
      <c r="M8" s="172" t="s">
        <v>136</v>
      </c>
      <c r="N8" s="172">
        <v>4</v>
      </c>
      <c r="O8" s="172" t="s">
        <v>111</v>
      </c>
    </row>
    <row r="9" spans="2:17" x14ac:dyDescent="0.25">
      <c r="B9" s="261"/>
      <c r="C9" s="261"/>
      <c r="D9" s="261"/>
      <c r="E9" s="261"/>
      <c r="F9" s="286"/>
      <c r="G9" s="280"/>
      <c r="H9" s="170" t="s">
        <v>81</v>
      </c>
      <c r="I9" s="29" t="s">
        <v>13</v>
      </c>
      <c r="J9" s="29"/>
      <c r="K9" s="29"/>
      <c r="L9" s="172">
        <v>3</v>
      </c>
      <c r="M9" s="172" t="s">
        <v>142</v>
      </c>
      <c r="N9" s="172">
        <v>4</v>
      </c>
      <c r="O9" s="172" t="s">
        <v>141</v>
      </c>
    </row>
    <row r="10" spans="2:17" x14ac:dyDescent="0.25">
      <c r="B10" s="261"/>
      <c r="C10" s="261"/>
      <c r="D10" s="261"/>
      <c r="E10" s="261"/>
      <c r="F10" s="286"/>
      <c r="G10" s="280"/>
      <c r="H10" s="170" t="s">
        <v>82</v>
      </c>
      <c r="I10" s="29" t="s">
        <v>14</v>
      </c>
      <c r="J10" s="29"/>
      <c r="K10" s="29"/>
      <c r="L10" s="172">
        <v>2</v>
      </c>
      <c r="M10" s="172" t="s">
        <v>136</v>
      </c>
      <c r="N10" s="172">
        <v>3</v>
      </c>
      <c r="O10" s="172" t="s">
        <v>337</v>
      </c>
    </row>
    <row r="11" spans="2:17" x14ac:dyDescent="0.25">
      <c r="B11" s="261"/>
      <c r="C11" s="261"/>
      <c r="D11" s="261"/>
      <c r="E11" s="261"/>
      <c r="F11" s="286"/>
      <c r="G11" s="280"/>
      <c r="H11" s="170" t="s">
        <v>83</v>
      </c>
      <c r="I11" s="29" t="s">
        <v>15</v>
      </c>
      <c r="J11" s="29"/>
      <c r="K11" s="29"/>
      <c r="L11" s="172">
        <v>1</v>
      </c>
      <c r="M11" s="172" t="s">
        <v>137</v>
      </c>
      <c r="N11" s="172">
        <v>1</v>
      </c>
      <c r="O11" s="172" t="s">
        <v>137</v>
      </c>
    </row>
    <row r="12" spans="2:17" x14ac:dyDescent="0.25">
      <c r="B12" s="261"/>
      <c r="C12" s="261"/>
      <c r="D12" s="261"/>
      <c r="E12" s="261"/>
      <c r="F12" s="286"/>
      <c r="G12" s="280"/>
      <c r="H12" s="170" t="s">
        <v>84</v>
      </c>
      <c r="I12" s="29" t="s">
        <v>16</v>
      </c>
      <c r="J12" s="29"/>
      <c r="K12" s="29"/>
      <c r="L12" s="172">
        <v>2</v>
      </c>
      <c r="M12" s="172" t="s">
        <v>136</v>
      </c>
      <c r="N12" s="172">
        <v>3</v>
      </c>
      <c r="O12" s="172" t="s">
        <v>337</v>
      </c>
    </row>
    <row r="13" spans="2:17" x14ac:dyDescent="0.25">
      <c r="B13" s="261"/>
      <c r="C13" s="261"/>
      <c r="D13" s="261"/>
      <c r="E13" s="261"/>
      <c r="F13" s="286"/>
      <c r="G13" s="280"/>
      <c r="H13" s="170" t="s">
        <v>85</v>
      </c>
      <c r="I13" s="29" t="s">
        <v>17</v>
      </c>
      <c r="J13" s="29"/>
      <c r="K13" s="29"/>
      <c r="L13" s="172">
        <v>1</v>
      </c>
      <c r="M13" s="172" t="s">
        <v>137</v>
      </c>
      <c r="N13" s="172">
        <v>3</v>
      </c>
      <c r="O13" s="172" t="s">
        <v>337</v>
      </c>
    </row>
    <row r="14" spans="2:17" x14ac:dyDescent="0.25">
      <c r="B14" s="261"/>
      <c r="C14" s="261"/>
      <c r="D14" s="261"/>
      <c r="E14" s="261"/>
      <c r="F14" s="286"/>
      <c r="G14" s="280"/>
      <c r="H14" s="170" t="s">
        <v>86</v>
      </c>
      <c r="I14" s="29" t="s">
        <v>18</v>
      </c>
      <c r="J14" s="29"/>
      <c r="K14" s="29"/>
      <c r="L14" s="172">
        <v>1</v>
      </c>
      <c r="M14" s="172" t="s">
        <v>137</v>
      </c>
      <c r="N14" s="172">
        <v>1</v>
      </c>
      <c r="O14" s="172" t="s">
        <v>137</v>
      </c>
    </row>
    <row r="15" spans="2:17" x14ac:dyDescent="0.25">
      <c r="B15" s="261"/>
      <c r="C15" s="261"/>
      <c r="D15" s="261"/>
      <c r="E15" s="261"/>
      <c r="F15" s="286"/>
      <c r="G15" s="280"/>
      <c r="H15" s="170" t="s">
        <v>87</v>
      </c>
      <c r="I15" s="29" t="s">
        <v>19</v>
      </c>
      <c r="J15" s="29"/>
      <c r="K15" s="29"/>
      <c r="L15" s="172">
        <v>1</v>
      </c>
      <c r="M15" s="172" t="s">
        <v>137</v>
      </c>
      <c r="N15" s="172">
        <v>1</v>
      </c>
      <c r="O15" s="172" t="s">
        <v>137</v>
      </c>
    </row>
    <row r="16" spans="2:17" x14ac:dyDescent="0.25">
      <c r="B16" s="261"/>
      <c r="C16" s="261"/>
      <c r="D16" s="261"/>
      <c r="E16" s="261"/>
      <c r="F16" s="287"/>
      <c r="G16" s="281"/>
      <c r="H16" s="170" t="s">
        <v>88</v>
      </c>
      <c r="I16" s="29" t="s">
        <v>20</v>
      </c>
      <c r="J16" s="29"/>
      <c r="K16" s="29"/>
      <c r="L16" s="172">
        <v>3</v>
      </c>
      <c r="M16" s="172" t="s">
        <v>337</v>
      </c>
      <c r="N16" s="172">
        <v>4</v>
      </c>
      <c r="O16" s="172" t="s">
        <v>111</v>
      </c>
    </row>
    <row r="17" spans="2:15" x14ac:dyDescent="0.25">
      <c r="B17" s="261"/>
      <c r="C17" s="261"/>
      <c r="D17" s="261"/>
      <c r="E17" s="261"/>
      <c r="F17" s="168" t="s">
        <v>21</v>
      </c>
      <c r="G17" s="42" t="s">
        <v>119</v>
      </c>
      <c r="H17" s="15"/>
      <c r="I17" s="173" t="s">
        <v>22</v>
      </c>
      <c r="J17" s="173"/>
      <c r="K17" s="173"/>
      <c r="L17" s="31" t="s">
        <v>161</v>
      </c>
      <c r="M17" s="31" t="s">
        <v>161</v>
      </c>
      <c r="N17" s="31" t="s">
        <v>161</v>
      </c>
      <c r="O17" s="31" t="s">
        <v>161</v>
      </c>
    </row>
    <row r="18" spans="2:15" x14ac:dyDescent="0.25">
      <c r="B18" s="261"/>
      <c r="C18" s="261"/>
      <c r="D18" s="261"/>
      <c r="E18" s="261"/>
      <c r="F18" s="168" t="s">
        <v>23</v>
      </c>
      <c r="G18" s="4" t="s">
        <v>24</v>
      </c>
      <c r="H18" s="4"/>
      <c r="I18" s="59" t="s">
        <v>25</v>
      </c>
      <c r="J18" s="59"/>
      <c r="K18" s="59"/>
      <c r="L18" s="31" t="s">
        <v>161</v>
      </c>
      <c r="M18" s="31" t="s">
        <v>161</v>
      </c>
      <c r="N18" s="31" t="s">
        <v>161</v>
      </c>
      <c r="O18" s="31" t="s">
        <v>161</v>
      </c>
    </row>
    <row r="19" spans="2:15" x14ac:dyDescent="0.25">
      <c r="B19" s="261"/>
      <c r="C19" s="261"/>
      <c r="D19" s="261"/>
      <c r="E19" s="261"/>
      <c r="F19" s="282">
        <v>1601</v>
      </c>
      <c r="G19" s="284" t="s">
        <v>26</v>
      </c>
      <c r="H19" s="170">
        <v>20</v>
      </c>
      <c r="I19" s="170" t="s">
        <v>27</v>
      </c>
      <c r="J19" s="170"/>
      <c r="K19" s="170"/>
      <c r="L19" s="31" t="s">
        <v>332</v>
      </c>
      <c r="M19" s="31" t="s">
        <v>112</v>
      </c>
      <c r="N19" s="31" t="s">
        <v>332</v>
      </c>
      <c r="O19" s="31" t="s">
        <v>112</v>
      </c>
    </row>
    <row r="20" spans="2:15" x14ac:dyDescent="0.25">
      <c r="B20" s="261"/>
      <c r="C20" s="261"/>
      <c r="D20" s="261"/>
      <c r="E20" s="261"/>
      <c r="F20" s="282"/>
      <c r="G20" s="284"/>
      <c r="H20" s="170">
        <v>17</v>
      </c>
      <c r="I20" s="170" t="s">
        <v>28</v>
      </c>
      <c r="J20" s="170"/>
      <c r="K20" s="170"/>
      <c r="L20" s="31" t="s">
        <v>332</v>
      </c>
      <c r="M20" s="31" t="s">
        <v>112</v>
      </c>
      <c r="N20" s="31" t="s">
        <v>332</v>
      </c>
      <c r="O20" s="31" t="s">
        <v>112</v>
      </c>
    </row>
    <row r="21" spans="2:15" x14ac:dyDescent="0.25">
      <c r="B21" s="261"/>
      <c r="C21" s="261"/>
      <c r="D21" s="261"/>
      <c r="E21" s="261"/>
      <c r="F21" s="282"/>
      <c r="G21" s="284"/>
      <c r="H21" s="170">
        <v>21</v>
      </c>
      <c r="I21" s="170" t="s">
        <v>29</v>
      </c>
      <c r="J21" s="170"/>
      <c r="K21" s="170"/>
      <c r="L21" s="31" t="s">
        <v>332</v>
      </c>
      <c r="M21" s="31" t="s">
        <v>112</v>
      </c>
      <c r="N21" s="31" t="s">
        <v>332</v>
      </c>
      <c r="O21" s="31" t="s">
        <v>112</v>
      </c>
    </row>
    <row r="22" spans="2:15" x14ac:dyDescent="0.25">
      <c r="B22" s="261"/>
      <c r="C22" s="261"/>
      <c r="D22" s="261"/>
      <c r="E22" s="261"/>
      <c r="F22" s="282"/>
      <c r="G22" s="284"/>
      <c r="H22" s="170">
        <v>24</v>
      </c>
      <c r="I22" s="170" t="s">
        <v>30</v>
      </c>
      <c r="J22" s="170"/>
      <c r="K22" s="170"/>
      <c r="L22" s="31" t="s">
        <v>332</v>
      </c>
      <c r="M22" s="31" t="s">
        <v>112</v>
      </c>
      <c r="N22" s="31" t="s">
        <v>332</v>
      </c>
      <c r="O22" s="31" t="s">
        <v>112</v>
      </c>
    </row>
    <row r="23" spans="2:15" x14ac:dyDescent="0.25">
      <c r="B23" s="278"/>
      <c r="C23" s="278"/>
      <c r="D23" s="278"/>
      <c r="E23" s="278"/>
      <c r="F23" s="282"/>
      <c r="G23" s="284"/>
      <c r="H23" s="170">
        <v>25</v>
      </c>
      <c r="I23" s="170" t="s">
        <v>31</v>
      </c>
      <c r="J23" s="170"/>
      <c r="K23" s="170"/>
      <c r="L23" s="31" t="s">
        <v>332</v>
      </c>
      <c r="M23" s="31" t="s">
        <v>112</v>
      </c>
      <c r="N23" s="31" t="s">
        <v>332</v>
      </c>
      <c r="O23" s="31" t="s">
        <v>112</v>
      </c>
    </row>
    <row r="24" spans="2:15" x14ac:dyDescent="0.25">
      <c r="B24" s="257" t="s">
        <v>32</v>
      </c>
      <c r="C24" s="258" t="s">
        <v>33</v>
      </c>
      <c r="D24" s="285">
        <v>23</v>
      </c>
      <c r="E24" s="258" t="s">
        <v>34</v>
      </c>
      <c r="F24" s="260">
        <v>2319</v>
      </c>
      <c r="G24" s="318" t="s">
        <v>51</v>
      </c>
      <c r="H24" s="170" t="s">
        <v>185</v>
      </c>
      <c r="I24" s="77" t="s">
        <v>35</v>
      </c>
      <c r="J24" s="170" t="s">
        <v>92</v>
      </c>
      <c r="K24" s="29" t="s">
        <v>36</v>
      </c>
      <c r="L24" s="31">
        <v>4</v>
      </c>
      <c r="M24" s="31" t="s">
        <v>111</v>
      </c>
      <c r="N24" s="31">
        <v>5</v>
      </c>
      <c r="O24" s="31" t="s">
        <v>112</v>
      </c>
    </row>
    <row r="25" spans="2:15" x14ac:dyDescent="0.25">
      <c r="B25" s="257"/>
      <c r="C25" s="288"/>
      <c r="D25" s="286"/>
      <c r="E25" s="288"/>
      <c r="F25" s="261"/>
      <c r="G25" s="319"/>
      <c r="H25" s="170" t="s">
        <v>186</v>
      </c>
      <c r="I25" s="77" t="s">
        <v>37</v>
      </c>
      <c r="J25" s="170" t="s">
        <v>93</v>
      </c>
      <c r="K25" s="29" t="s">
        <v>38</v>
      </c>
      <c r="L25" s="31">
        <v>5</v>
      </c>
      <c r="M25" s="31" t="s">
        <v>112</v>
      </c>
      <c r="N25" s="31">
        <v>5</v>
      </c>
      <c r="O25" s="31" t="s">
        <v>112</v>
      </c>
    </row>
    <row r="26" spans="2:15" x14ac:dyDescent="0.25">
      <c r="B26" s="257"/>
      <c r="C26" s="288"/>
      <c r="D26" s="286"/>
      <c r="E26" s="288"/>
      <c r="F26" s="261"/>
      <c r="G26" s="319"/>
      <c r="H26" s="170" t="s">
        <v>187</v>
      </c>
      <c r="I26" s="321" t="s">
        <v>39</v>
      </c>
      <c r="J26" s="170" t="s">
        <v>94</v>
      </c>
      <c r="K26" s="29" t="s">
        <v>40</v>
      </c>
      <c r="L26" s="31">
        <v>3</v>
      </c>
      <c r="M26" s="31" t="s">
        <v>337</v>
      </c>
      <c r="N26" s="31">
        <v>4.2</v>
      </c>
      <c r="O26" s="176" t="s">
        <v>111</v>
      </c>
    </row>
    <row r="27" spans="2:15" x14ac:dyDescent="0.25">
      <c r="B27" s="257"/>
      <c r="C27" s="288"/>
      <c r="D27" s="286"/>
      <c r="E27" s="288"/>
      <c r="F27" s="261"/>
      <c r="G27" s="319"/>
      <c r="H27" s="170" t="s">
        <v>187</v>
      </c>
      <c r="I27" s="321"/>
      <c r="J27" s="170" t="s">
        <v>95</v>
      </c>
      <c r="K27" s="29" t="s">
        <v>41</v>
      </c>
      <c r="L27" s="31">
        <v>3.4</v>
      </c>
      <c r="M27" s="31" t="s">
        <v>337</v>
      </c>
      <c r="N27" s="31">
        <v>4.4000000000000004</v>
      </c>
      <c r="O27" s="176" t="s">
        <v>111</v>
      </c>
    </row>
    <row r="28" spans="2:15" x14ac:dyDescent="0.25">
      <c r="B28" s="257"/>
      <c r="C28" s="288"/>
      <c r="D28" s="286"/>
      <c r="E28" s="288"/>
      <c r="F28" s="261"/>
      <c r="G28" s="319"/>
      <c r="H28" s="170" t="s">
        <v>187</v>
      </c>
      <c r="I28" s="321"/>
      <c r="J28" s="170" t="s">
        <v>96</v>
      </c>
      <c r="K28" s="29" t="s">
        <v>42</v>
      </c>
      <c r="L28" s="31">
        <v>3.8</v>
      </c>
      <c r="M28" s="31" t="s">
        <v>111</v>
      </c>
      <c r="N28" s="31">
        <v>5</v>
      </c>
      <c r="O28" s="31" t="s">
        <v>112</v>
      </c>
    </row>
    <row r="29" spans="2:15" x14ac:dyDescent="0.25">
      <c r="B29" s="257"/>
      <c r="C29" s="288"/>
      <c r="D29" s="286"/>
      <c r="E29" s="288"/>
      <c r="F29" s="261"/>
      <c r="G29" s="319"/>
      <c r="H29" s="170" t="s">
        <v>187</v>
      </c>
      <c r="I29" s="321"/>
      <c r="J29" s="170" t="s">
        <v>97</v>
      </c>
      <c r="K29" s="29" t="s">
        <v>43</v>
      </c>
      <c r="L29" s="31">
        <v>4.5999999999999996</v>
      </c>
      <c r="M29" s="31" t="s">
        <v>112</v>
      </c>
      <c r="N29" s="31">
        <v>5</v>
      </c>
      <c r="O29" s="31" t="s">
        <v>112</v>
      </c>
    </row>
    <row r="30" spans="2:15" x14ac:dyDescent="0.25">
      <c r="B30" s="257"/>
      <c r="C30" s="288"/>
      <c r="D30" s="286"/>
      <c r="E30" s="288"/>
      <c r="F30" s="261"/>
      <c r="G30" s="319"/>
      <c r="H30" s="170" t="s">
        <v>181</v>
      </c>
      <c r="I30" s="322" t="s">
        <v>45</v>
      </c>
      <c r="J30" s="170" t="s">
        <v>102</v>
      </c>
      <c r="K30" s="29" t="s">
        <v>46</v>
      </c>
      <c r="L30" s="31">
        <v>4.5999999999999996</v>
      </c>
      <c r="M30" s="31" t="s">
        <v>112</v>
      </c>
      <c r="N30" s="31">
        <v>5</v>
      </c>
      <c r="O30" s="31" t="s">
        <v>112</v>
      </c>
    </row>
    <row r="31" spans="2:15" x14ac:dyDescent="0.25">
      <c r="B31" s="257"/>
      <c r="C31" s="288"/>
      <c r="D31" s="286"/>
      <c r="E31" s="288"/>
      <c r="F31" s="261"/>
      <c r="G31" s="319"/>
      <c r="H31" s="170" t="s">
        <v>182</v>
      </c>
      <c r="I31" s="322"/>
      <c r="J31" s="170" t="s">
        <v>103</v>
      </c>
      <c r="K31" s="29" t="s">
        <v>47</v>
      </c>
      <c r="L31" s="84">
        <v>2.6</v>
      </c>
      <c r="M31" s="172" t="s">
        <v>337</v>
      </c>
      <c r="N31" s="31">
        <v>4.4000000000000004</v>
      </c>
      <c r="O31" s="176" t="s">
        <v>111</v>
      </c>
    </row>
    <row r="32" spans="2:15" x14ac:dyDescent="0.25">
      <c r="B32" s="257"/>
      <c r="C32" s="288"/>
      <c r="D32" s="286"/>
      <c r="E32" s="288"/>
      <c r="F32" s="261"/>
      <c r="G32" s="319"/>
      <c r="H32" s="170" t="s">
        <v>183</v>
      </c>
      <c r="I32" s="322"/>
      <c r="J32" s="170" t="s">
        <v>104</v>
      </c>
      <c r="K32" s="29" t="s">
        <v>48</v>
      </c>
      <c r="L32" s="176">
        <v>3.2</v>
      </c>
      <c r="M32" s="172" t="s">
        <v>337</v>
      </c>
      <c r="N32" s="31">
        <v>5</v>
      </c>
      <c r="O32" s="31" t="s">
        <v>112</v>
      </c>
    </row>
    <row r="33" spans="2:16" ht="25.5" x14ac:dyDescent="0.25">
      <c r="B33" s="257"/>
      <c r="C33" s="288"/>
      <c r="D33" s="286"/>
      <c r="E33" s="288"/>
      <c r="F33" s="261"/>
      <c r="G33" s="319"/>
      <c r="H33" s="170" t="s">
        <v>184</v>
      </c>
      <c r="I33" s="175" t="s">
        <v>49</v>
      </c>
      <c r="J33" s="170" t="s">
        <v>109</v>
      </c>
      <c r="K33" s="17" t="s">
        <v>288</v>
      </c>
      <c r="L33" s="176">
        <v>3.8</v>
      </c>
      <c r="M33" s="176" t="s">
        <v>111</v>
      </c>
      <c r="N33" s="31">
        <v>2.4</v>
      </c>
      <c r="O33" s="31" t="s">
        <v>136</v>
      </c>
    </row>
    <row r="34" spans="2:16" x14ac:dyDescent="0.25">
      <c r="B34" s="257"/>
      <c r="C34" s="288"/>
      <c r="D34" s="286"/>
      <c r="E34" s="288"/>
      <c r="F34" s="261"/>
      <c r="G34" s="319"/>
      <c r="H34" s="170" t="s">
        <v>188</v>
      </c>
      <c r="I34" s="58"/>
      <c r="J34" s="170" t="s">
        <v>98</v>
      </c>
      <c r="K34" s="59" t="s">
        <v>115</v>
      </c>
      <c r="L34" s="38">
        <v>3.6</v>
      </c>
      <c r="M34" s="31" t="s">
        <v>111</v>
      </c>
      <c r="N34" s="38">
        <v>4.8</v>
      </c>
      <c r="O34" s="31" t="s">
        <v>112</v>
      </c>
    </row>
    <row r="35" spans="2:16" x14ac:dyDescent="0.25">
      <c r="B35" s="257"/>
      <c r="C35" s="288"/>
      <c r="D35" s="286"/>
      <c r="E35" s="288"/>
      <c r="F35" s="261"/>
      <c r="G35" s="319"/>
      <c r="H35" s="170"/>
      <c r="I35" s="78" t="s">
        <v>44</v>
      </c>
      <c r="J35" s="60"/>
      <c r="K35" s="60"/>
      <c r="L35" s="31" t="s">
        <v>161</v>
      </c>
      <c r="M35" s="31" t="s">
        <v>161</v>
      </c>
      <c r="N35" s="31" t="s">
        <v>161</v>
      </c>
      <c r="O35" s="31" t="s">
        <v>161</v>
      </c>
    </row>
    <row r="36" spans="2:16" x14ac:dyDescent="0.25">
      <c r="B36" s="257"/>
      <c r="C36" s="288"/>
      <c r="D36" s="287"/>
      <c r="E36" s="259"/>
      <c r="F36" s="278"/>
      <c r="G36" s="320"/>
      <c r="H36" s="170" t="s">
        <v>189</v>
      </c>
      <c r="I36" s="58"/>
      <c r="J36" s="170" t="s">
        <v>108</v>
      </c>
      <c r="K36" s="59" t="s">
        <v>107</v>
      </c>
      <c r="L36" s="176">
        <v>1.4</v>
      </c>
      <c r="M36" s="172" t="s">
        <v>137</v>
      </c>
      <c r="N36" s="31">
        <v>3.6</v>
      </c>
      <c r="O36" s="31" t="s">
        <v>111</v>
      </c>
    </row>
    <row r="37" spans="2:16" x14ac:dyDescent="0.25">
      <c r="B37" s="257"/>
      <c r="C37" s="259"/>
      <c r="D37" s="172">
        <v>24</v>
      </c>
      <c r="E37" s="172" t="s">
        <v>52</v>
      </c>
      <c r="F37" s="172">
        <v>2403</v>
      </c>
      <c r="G37" s="4" t="s">
        <v>120</v>
      </c>
      <c r="H37" s="4"/>
      <c r="I37" s="173" t="s">
        <v>53</v>
      </c>
      <c r="J37" s="173"/>
      <c r="K37" s="173"/>
      <c r="L37" s="31" t="s">
        <v>161</v>
      </c>
      <c r="M37" s="31" t="s">
        <v>161</v>
      </c>
      <c r="N37" s="31" t="s">
        <v>161</v>
      </c>
      <c r="O37" s="31" t="s">
        <v>161</v>
      </c>
    </row>
    <row r="38" spans="2:16" x14ac:dyDescent="0.25">
      <c r="B38" s="282">
        <v>3</v>
      </c>
      <c r="C38" s="260" t="s">
        <v>54</v>
      </c>
      <c r="D38" s="282">
        <v>37</v>
      </c>
      <c r="E38" s="260" t="s">
        <v>55</v>
      </c>
      <c r="F38" s="282">
        <v>3701</v>
      </c>
      <c r="G38" s="317" t="s">
        <v>56</v>
      </c>
      <c r="H38" s="173"/>
      <c r="I38" s="41"/>
      <c r="J38" s="41"/>
      <c r="K38" s="41"/>
      <c r="L38" s="31" t="s">
        <v>161</v>
      </c>
      <c r="M38" s="31" t="s">
        <v>161</v>
      </c>
      <c r="N38" s="31" t="s">
        <v>161</v>
      </c>
      <c r="O38" s="31" t="s">
        <v>161</v>
      </c>
    </row>
    <row r="39" spans="2:16" x14ac:dyDescent="0.25">
      <c r="B39" s="282"/>
      <c r="C39" s="278"/>
      <c r="D39" s="282"/>
      <c r="E39" s="278"/>
      <c r="F39" s="282"/>
      <c r="G39" s="317"/>
      <c r="H39" s="173"/>
      <c r="I39" s="41" t="s">
        <v>57</v>
      </c>
      <c r="J39" s="41"/>
      <c r="K39" s="41"/>
      <c r="L39" s="31" t="s">
        <v>161</v>
      </c>
      <c r="M39" s="31" t="s">
        <v>161</v>
      </c>
      <c r="N39" s="31" t="s">
        <v>161</v>
      </c>
      <c r="O39" s="31" t="s">
        <v>161</v>
      </c>
    </row>
    <row r="40" spans="2:16" x14ac:dyDescent="0.25">
      <c r="B40" s="15" t="s">
        <v>192</v>
      </c>
      <c r="C40" s="187"/>
      <c r="D40" s="187"/>
      <c r="E40" s="187"/>
      <c r="F40" s="187"/>
      <c r="G40" s="39"/>
      <c r="H40" s="39"/>
      <c r="I40" s="188"/>
      <c r="J40" s="188"/>
      <c r="K40" s="188"/>
      <c r="L40" s="187"/>
      <c r="M40" s="187"/>
      <c r="N40" s="187"/>
      <c r="O40" s="187"/>
    </row>
    <row r="41" spans="2:16" x14ac:dyDescent="0.25">
      <c r="B41" s="15"/>
      <c r="C41" s="187"/>
      <c r="D41" s="187"/>
      <c r="E41" s="187"/>
      <c r="F41" s="187"/>
      <c r="G41" s="39"/>
      <c r="H41" s="39"/>
      <c r="I41" s="188"/>
      <c r="J41" s="188"/>
      <c r="K41" s="188"/>
      <c r="L41" s="187"/>
      <c r="M41" s="187"/>
      <c r="N41" s="187"/>
      <c r="O41" s="187"/>
    </row>
    <row r="42" spans="2:16" x14ac:dyDescent="0.25">
      <c r="B42" s="15"/>
      <c r="C42" s="187"/>
      <c r="D42" s="187"/>
      <c r="E42" s="187"/>
      <c r="F42" s="187"/>
      <c r="G42" s="39"/>
      <c r="H42" s="39"/>
      <c r="I42" s="188"/>
      <c r="J42" s="188"/>
      <c r="K42" s="188"/>
      <c r="L42" s="187"/>
      <c r="M42" s="187"/>
      <c r="N42" s="187"/>
      <c r="O42" s="187"/>
    </row>
    <row r="43" spans="2:16" ht="90" x14ac:dyDescent="0.25">
      <c r="B43" t="s">
        <v>322</v>
      </c>
      <c r="L43" s="299" t="s">
        <v>318</v>
      </c>
      <c r="M43" s="151" t="s">
        <v>334</v>
      </c>
      <c r="N43" s="151" t="s">
        <v>335</v>
      </c>
      <c r="O43" s="151" t="s">
        <v>336</v>
      </c>
      <c r="P43" s="151" t="s">
        <v>335</v>
      </c>
    </row>
    <row r="44" spans="2:16" x14ac:dyDescent="0.25">
      <c r="B44" t="s">
        <v>324</v>
      </c>
      <c r="L44" s="300"/>
      <c r="M44" s="301" t="s">
        <v>117</v>
      </c>
      <c r="N44" s="302"/>
      <c r="O44" s="301" t="s">
        <v>194</v>
      </c>
      <c r="P44" s="302"/>
    </row>
    <row r="45" spans="2:16" x14ac:dyDescent="0.25">
      <c r="B45" s="15" t="s">
        <v>323</v>
      </c>
      <c r="L45" s="31" t="s">
        <v>112</v>
      </c>
      <c r="M45" s="147">
        <v>8</v>
      </c>
      <c r="N45" s="192">
        <f>M45*100/M$51</f>
        <v>22.857142857142858</v>
      </c>
      <c r="O45" s="147">
        <v>12</v>
      </c>
      <c r="P45" s="159">
        <f>O45*100/O$51</f>
        <v>34.285714285714285</v>
      </c>
    </row>
    <row r="46" spans="2:16" x14ac:dyDescent="0.25">
      <c r="B46" s="15" t="s">
        <v>325</v>
      </c>
      <c r="L46" s="31" t="s">
        <v>111</v>
      </c>
      <c r="M46" s="147">
        <v>4</v>
      </c>
      <c r="N46" s="192">
        <f t="shared" ref="N46:N50" si="0">M46*100/M$51</f>
        <v>11.428571428571429</v>
      </c>
      <c r="O46" s="147">
        <v>7</v>
      </c>
      <c r="P46" s="159">
        <f t="shared" ref="P46:P50" si="1">O46*100/O$51</f>
        <v>20</v>
      </c>
    </row>
    <row r="47" spans="2:16" x14ac:dyDescent="0.25">
      <c r="B47" s="15" t="s">
        <v>326</v>
      </c>
      <c r="L47" s="31" t="s">
        <v>337</v>
      </c>
      <c r="M47" s="147">
        <v>6</v>
      </c>
      <c r="N47" s="192">
        <f t="shared" si="0"/>
        <v>17.142857142857142</v>
      </c>
      <c r="O47" s="147">
        <v>4</v>
      </c>
      <c r="P47" s="159">
        <f t="shared" si="1"/>
        <v>11.428571428571429</v>
      </c>
    </row>
    <row r="48" spans="2:16" x14ac:dyDescent="0.25">
      <c r="B48" s="15" t="s">
        <v>327</v>
      </c>
      <c r="L48" s="31" t="s">
        <v>136</v>
      </c>
      <c r="M48" s="147">
        <v>4</v>
      </c>
      <c r="N48" s="192">
        <f t="shared" si="0"/>
        <v>11.428571428571429</v>
      </c>
      <c r="O48" s="147">
        <v>3</v>
      </c>
      <c r="P48" s="159">
        <f t="shared" si="1"/>
        <v>8.5714285714285712</v>
      </c>
    </row>
    <row r="49" spans="2:16" x14ac:dyDescent="0.25">
      <c r="B49" s="15" t="s">
        <v>328</v>
      </c>
      <c r="L49" s="31" t="s">
        <v>137</v>
      </c>
      <c r="M49" s="147">
        <v>7</v>
      </c>
      <c r="N49" s="192">
        <f t="shared" si="0"/>
        <v>20</v>
      </c>
      <c r="O49" s="147">
        <v>3</v>
      </c>
      <c r="P49" s="159">
        <f t="shared" si="1"/>
        <v>8.5714285714285712</v>
      </c>
    </row>
    <row r="50" spans="2:16" x14ac:dyDescent="0.25">
      <c r="B50" s="15" t="s">
        <v>329</v>
      </c>
      <c r="L50" s="31" t="s">
        <v>161</v>
      </c>
      <c r="M50" s="147">
        <v>6</v>
      </c>
      <c r="N50" s="192">
        <f t="shared" si="0"/>
        <v>17.142857142857142</v>
      </c>
      <c r="O50" s="147">
        <v>6</v>
      </c>
      <c r="P50" s="159">
        <f t="shared" si="1"/>
        <v>17.142857142857142</v>
      </c>
    </row>
    <row r="51" spans="2:16" x14ac:dyDescent="0.25">
      <c r="B51" s="15" t="s">
        <v>330</v>
      </c>
      <c r="M51">
        <f>SUM(M45:M50)</f>
        <v>35</v>
      </c>
      <c r="N51">
        <f t="shared" ref="N51:P51" si="2">SUM(N45:N50)</f>
        <v>100</v>
      </c>
      <c r="O51">
        <f t="shared" si="2"/>
        <v>35</v>
      </c>
      <c r="P51">
        <f t="shared" si="2"/>
        <v>99.999999999999986</v>
      </c>
    </row>
    <row r="52" spans="2:16" x14ac:dyDescent="0.25">
      <c r="B52" s="15" t="s">
        <v>331</v>
      </c>
    </row>
    <row r="53" spans="2:16" x14ac:dyDescent="0.25">
      <c r="B53" t="s">
        <v>333</v>
      </c>
    </row>
  </sheetData>
  <mergeCells count="33">
    <mergeCell ref="L3:O3"/>
    <mergeCell ref="L43:L44"/>
    <mergeCell ref="M44:N44"/>
    <mergeCell ref="O44:P44"/>
    <mergeCell ref="I26:I29"/>
    <mergeCell ref="I30:I32"/>
    <mergeCell ref="J3:K3"/>
    <mergeCell ref="B38:B39"/>
    <mergeCell ref="C38:C39"/>
    <mergeCell ref="D38:D39"/>
    <mergeCell ref="E38:E39"/>
    <mergeCell ref="F38:F39"/>
    <mergeCell ref="G38:G39"/>
    <mergeCell ref="G19:G23"/>
    <mergeCell ref="B24:B37"/>
    <mergeCell ref="C24:C37"/>
    <mergeCell ref="D24:D36"/>
    <mergeCell ref="E24:E36"/>
    <mergeCell ref="F24:F36"/>
    <mergeCell ref="G24:G36"/>
    <mergeCell ref="B5:B23"/>
    <mergeCell ref="C5:C23"/>
    <mergeCell ref="D5:D23"/>
    <mergeCell ref="E5:E23"/>
    <mergeCell ref="F5:F6"/>
    <mergeCell ref="G5:G6"/>
    <mergeCell ref="F7:F16"/>
    <mergeCell ref="G7:G16"/>
    <mergeCell ref="F19:F23"/>
    <mergeCell ref="B3:C3"/>
    <mergeCell ref="D3:E3"/>
    <mergeCell ref="F3:G3"/>
    <mergeCell ref="H3:I3"/>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D2:T54"/>
  <sheetViews>
    <sheetView topLeftCell="A4" workbookViewId="0">
      <selection activeCell="I32" sqref="I32:M54"/>
    </sheetView>
  </sheetViews>
  <sheetFormatPr baseColWidth="10" defaultRowHeight="15" x14ac:dyDescent="0.25"/>
  <cols>
    <col min="1" max="3" width="5.42578125" customWidth="1"/>
    <col min="4" max="4" width="4" bestFit="1" customWidth="1"/>
    <col min="6" max="6" width="4" bestFit="1" customWidth="1"/>
    <col min="8" max="8" width="5" bestFit="1" customWidth="1"/>
    <col min="9" max="9" width="13.5703125" bestFit="1" customWidth="1"/>
  </cols>
  <sheetData>
    <row r="2" spans="4:20" x14ac:dyDescent="0.25">
      <c r="D2" s="323" t="s">
        <v>315</v>
      </c>
      <c r="E2" s="323"/>
      <c r="F2" s="323"/>
      <c r="G2" s="323"/>
      <c r="H2" s="323"/>
      <c r="I2" s="323"/>
      <c r="J2" s="323"/>
      <c r="K2" s="323"/>
      <c r="L2" s="323"/>
      <c r="M2" s="323"/>
      <c r="N2" s="323"/>
      <c r="O2" s="323"/>
      <c r="P2" s="323"/>
      <c r="Q2" s="212"/>
    </row>
    <row r="3" spans="4:20" x14ac:dyDescent="0.25">
      <c r="D3" s="145" t="s">
        <v>345</v>
      </c>
    </row>
    <row r="4" spans="4:20" x14ac:dyDescent="0.25">
      <c r="D4" s="252" t="s">
        <v>0</v>
      </c>
      <c r="E4" s="252"/>
      <c r="F4" s="252" t="s">
        <v>1</v>
      </c>
      <c r="G4" s="252"/>
      <c r="H4" s="252" t="s">
        <v>2</v>
      </c>
      <c r="I4" s="252"/>
      <c r="J4" s="263" t="s">
        <v>118</v>
      </c>
      <c r="K4" s="264"/>
      <c r="L4" s="265"/>
      <c r="M4" s="295" t="s">
        <v>314</v>
      </c>
      <c r="N4" s="262" t="s">
        <v>121</v>
      </c>
      <c r="O4" s="262"/>
      <c r="P4" s="262"/>
    </row>
    <row r="5" spans="4:20" ht="23.25" customHeight="1" x14ac:dyDescent="0.25">
      <c r="D5" s="47" t="s">
        <v>127</v>
      </c>
      <c r="E5" s="47" t="s">
        <v>128</v>
      </c>
      <c r="F5" s="47" t="s">
        <v>127</v>
      </c>
      <c r="G5" s="47" t="s">
        <v>128</v>
      </c>
      <c r="H5" s="47" t="s">
        <v>127</v>
      </c>
      <c r="I5" s="47" t="s">
        <v>128</v>
      </c>
      <c r="J5" s="13" t="s">
        <v>117</v>
      </c>
      <c r="K5" s="13" t="s">
        <v>61</v>
      </c>
      <c r="L5" s="13" t="s">
        <v>68</v>
      </c>
      <c r="M5" s="296"/>
      <c r="N5" s="13" t="s">
        <v>117</v>
      </c>
      <c r="O5" s="13" t="s">
        <v>61</v>
      </c>
      <c r="P5" s="13" t="s">
        <v>68</v>
      </c>
    </row>
    <row r="6" spans="4:20" x14ac:dyDescent="0.25">
      <c r="D6" s="260">
        <v>1</v>
      </c>
      <c r="E6" s="260" t="s">
        <v>4</v>
      </c>
      <c r="F6" s="260">
        <v>16</v>
      </c>
      <c r="G6" s="260" t="s">
        <v>5</v>
      </c>
      <c r="H6" s="172">
        <v>1605</v>
      </c>
      <c r="I6" s="171" t="s">
        <v>6</v>
      </c>
      <c r="J6" s="56">
        <v>1907.8</v>
      </c>
      <c r="K6" s="56">
        <v>607.5</v>
      </c>
      <c r="L6" s="56">
        <v>5288.5</v>
      </c>
      <c r="M6" s="210">
        <v>98.275958110999994</v>
      </c>
      <c r="N6" s="56">
        <v>1170.2</v>
      </c>
      <c r="O6" s="56">
        <v>372.6</v>
      </c>
      <c r="P6" s="56">
        <v>3240.7</v>
      </c>
      <c r="Q6" s="213"/>
    </row>
    <row r="7" spans="4:20" x14ac:dyDescent="0.25">
      <c r="D7" s="261"/>
      <c r="E7" s="261"/>
      <c r="F7" s="261"/>
      <c r="G7" s="261"/>
      <c r="H7" s="35" t="s">
        <v>9</v>
      </c>
      <c r="I7" s="36" t="s">
        <v>10</v>
      </c>
      <c r="J7" s="56">
        <v>2475.8000000000002</v>
      </c>
      <c r="K7" s="56">
        <v>701.5</v>
      </c>
      <c r="L7" s="56">
        <v>6190.7</v>
      </c>
      <c r="M7" s="210">
        <v>535.18723003800005</v>
      </c>
      <c r="N7" s="56">
        <v>1659.7</v>
      </c>
      <c r="O7" s="71">
        <v>470.3</v>
      </c>
      <c r="P7" s="56">
        <v>4150</v>
      </c>
      <c r="Q7" s="213"/>
    </row>
    <row r="8" spans="4:20" ht="63.75" x14ac:dyDescent="0.25">
      <c r="D8" s="261"/>
      <c r="E8" s="261"/>
      <c r="F8" s="261"/>
      <c r="G8" s="261"/>
      <c r="H8" s="33" t="s">
        <v>21</v>
      </c>
      <c r="I8" s="37" t="s">
        <v>119</v>
      </c>
      <c r="J8" s="43">
        <v>4577.8</v>
      </c>
      <c r="K8" s="43">
        <v>1134.4000000000001</v>
      </c>
      <c r="L8" s="43">
        <v>12688.9</v>
      </c>
      <c r="M8" s="211">
        <v>49.714544453000002</v>
      </c>
      <c r="N8" s="43">
        <v>2911.5</v>
      </c>
      <c r="O8" s="43">
        <v>721.5</v>
      </c>
      <c r="P8" s="43">
        <v>8070.1</v>
      </c>
      <c r="Q8" s="214"/>
    </row>
    <row r="9" spans="4:20" x14ac:dyDescent="0.25">
      <c r="D9" s="261"/>
      <c r="E9" s="261"/>
      <c r="F9" s="261"/>
      <c r="G9" s="261"/>
      <c r="H9" s="33" t="s">
        <v>23</v>
      </c>
      <c r="I9" s="18" t="s">
        <v>24</v>
      </c>
      <c r="J9" s="43">
        <v>1573.7</v>
      </c>
      <c r="K9" s="43">
        <v>546.9</v>
      </c>
      <c r="L9" s="43">
        <v>4292.3</v>
      </c>
      <c r="M9" s="211">
        <v>14.495715347000001</v>
      </c>
      <c r="N9" s="43">
        <v>928.5</v>
      </c>
      <c r="O9" s="43">
        <v>322.7</v>
      </c>
      <c r="P9" s="43">
        <v>2532.5</v>
      </c>
      <c r="Q9" s="214"/>
    </row>
    <row r="10" spans="4:20" x14ac:dyDescent="0.25">
      <c r="D10" s="261"/>
      <c r="E10" s="261"/>
      <c r="F10" s="261"/>
      <c r="G10" s="261"/>
      <c r="H10" s="31">
        <v>1601</v>
      </c>
      <c r="I10" s="34" t="s">
        <v>26</v>
      </c>
      <c r="J10" s="43">
        <v>662.5</v>
      </c>
      <c r="K10" s="43">
        <v>178.6</v>
      </c>
      <c r="L10" s="43">
        <v>1910.6</v>
      </c>
      <c r="M10" s="211">
        <v>258.89811860100002</v>
      </c>
      <c r="N10" s="43">
        <v>444.4</v>
      </c>
      <c r="O10" s="71">
        <v>119.8</v>
      </c>
      <c r="P10" s="43">
        <v>1281.5999999999999</v>
      </c>
      <c r="Q10" s="214"/>
    </row>
    <row r="11" spans="4:20" ht="38.25" x14ac:dyDescent="0.25">
      <c r="D11" s="257" t="s">
        <v>32</v>
      </c>
      <c r="E11" s="258" t="s">
        <v>33</v>
      </c>
      <c r="F11" s="174">
        <v>23</v>
      </c>
      <c r="G11" s="169" t="s">
        <v>34</v>
      </c>
      <c r="H11" s="38">
        <v>2319</v>
      </c>
      <c r="I11" s="37" t="s">
        <v>51</v>
      </c>
      <c r="J11" s="43">
        <v>9621</v>
      </c>
      <c r="K11" s="43">
        <v>3902.9</v>
      </c>
      <c r="L11" s="43">
        <v>20766.099999999999</v>
      </c>
      <c r="M11" s="211">
        <v>875.42524654700003</v>
      </c>
      <c r="N11" s="43">
        <v>5212.5</v>
      </c>
      <c r="O11" s="43">
        <v>2114.5</v>
      </c>
      <c r="P11" s="43">
        <v>11250.7</v>
      </c>
      <c r="Q11" s="214"/>
    </row>
    <row r="12" spans="4:20" x14ac:dyDescent="0.25">
      <c r="D12" s="257"/>
      <c r="E12" s="259"/>
      <c r="F12" s="172">
        <v>24</v>
      </c>
      <c r="G12" s="172" t="s">
        <v>52</v>
      </c>
      <c r="H12" s="31">
        <v>2403</v>
      </c>
      <c r="I12" s="19" t="s">
        <v>120</v>
      </c>
      <c r="J12" s="43">
        <v>3649.9</v>
      </c>
      <c r="K12" s="43">
        <v>1109.5</v>
      </c>
      <c r="L12" s="43">
        <v>9926.6</v>
      </c>
      <c r="M12" s="211">
        <v>877.64494135400003</v>
      </c>
      <c r="N12" s="43">
        <v>2323.1999999999998</v>
      </c>
      <c r="O12" s="71">
        <v>706.2</v>
      </c>
      <c r="P12" s="43">
        <v>6318.4</v>
      </c>
      <c r="Q12" s="214"/>
    </row>
    <row r="13" spans="4:20" x14ac:dyDescent="0.25">
      <c r="D13" s="172">
        <v>3</v>
      </c>
      <c r="E13" s="172" t="s">
        <v>206</v>
      </c>
      <c r="F13" s="172">
        <v>37</v>
      </c>
      <c r="G13" s="172" t="s">
        <v>55</v>
      </c>
      <c r="H13" s="31">
        <v>3701</v>
      </c>
      <c r="I13" s="19" t="s">
        <v>56</v>
      </c>
      <c r="J13" s="43">
        <v>1430.6</v>
      </c>
      <c r="K13" s="43">
        <v>611.9</v>
      </c>
      <c r="L13" s="43">
        <v>3255.2</v>
      </c>
      <c r="M13" s="211">
        <v>99.739316885999997</v>
      </c>
      <c r="N13" s="43">
        <v>961</v>
      </c>
      <c r="O13" s="43">
        <v>411</v>
      </c>
      <c r="P13" s="43">
        <v>2186.6999999999998</v>
      </c>
      <c r="Q13" s="214"/>
    </row>
    <row r="16" spans="4:20" x14ac:dyDescent="0.25">
      <c r="D16" s="323" t="s">
        <v>316</v>
      </c>
      <c r="E16" s="323"/>
      <c r="F16" s="323"/>
      <c r="G16" s="323"/>
      <c r="H16" s="323"/>
      <c r="I16" s="323"/>
      <c r="J16" s="323"/>
      <c r="K16" s="323"/>
      <c r="L16" s="323"/>
      <c r="M16" s="323"/>
      <c r="N16" s="323"/>
      <c r="O16" s="323"/>
      <c r="P16" s="323"/>
      <c r="Q16" s="323"/>
      <c r="R16" s="323"/>
      <c r="S16" s="323"/>
      <c r="T16" s="323"/>
    </row>
    <row r="17" spans="4:20" ht="15" customHeight="1" x14ac:dyDescent="0.25">
      <c r="D17" s="266" t="s">
        <v>0</v>
      </c>
      <c r="E17" s="266"/>
      <c r="F17" s="266" t="s">
        <v>1</v>
      </c>
      <c r="G17" s="266"/>
      <c r="H17" s="266" t="s">
        <v>2</v>
      </c>
      <c r="I17" s="266"/>
      <c r="J17" s="266" t="s">
        <v>190</v>
      </c>
      <c r="K17" s="267"/>
      <c r="L17" s="266" t="s">
        <v>191</v>
      </c>
      <c r="M17" s="267"/>
      <c r="N17" s="262" t="s">
        <v>67</v>
      </c>
      <c r="O17" s="262"/>
      <c r="P17" s="262"/>
      <c r="Q17" s="262" t="s">
        <v>159</v>
      </c>
      <c r="R17" s="262" t="s">
        <v>58</v>
      </c>
      <c r="S17" s="262"/>
      <c r="T17" s="262"/>
    </row>
    <row r="18" spans="4:20" x14ac:dyDescent="0.25">
      <c r="D18" s="266"/>
      <c r="E18" s="266"/>
      <c r="F18" s="266"/>
      <c r="G18" s="266"/>
      <c r="H18" s="266"/>
      <c r="I18" s="266"/>
      <c r="J18" s="266"/>
      <c r="K18" s="267"/>
      <c r="L18" s="266"/>
      <c r="M18" s="267"/>
      <c r="N18" s="324" t="s">
        <v>60</v>
      </c>
      <c r="O18" s="324" t="s">
        <v>61</v>
      </c>
      <c r="P18" s="324" t="s">
        <v>68</v>
      </c>
      <c r="Q18" s="262"/>
      <c r="R18" s="324" t="s">
        <v>60</v>
      </c>
      <c r="S18" s="324" t="s">
        <v>61</v>
      </c>
      <c r="T18" s="324" t="s">
        <v>68</v>
      </c>
    </row>
    <row r="19" spans="4:20" x14ac:dyDescent="0.25">
      <c r="D19" s="47" t="s">
        <v>127</v>
      </c>
      <c r="E19" s="47" t="s">
        <v>128</v>
      </c>
      <c r="F19" s="47" t="s">
        <v>127</v>
      </c>
      <c r="G19" s="47" t="s">
        <v>128</v>
      </c>
      <c r="H19" s="47" t="s">
        <v>127</v>
      </c>
      <c r="I19" s="47" t="s">
        <v>128</v>
      </c>
      <c r="J19" s="47" t="s">
        <v>127</v>
      </c>
      <c r="K19" s="47" t="s">
        <v>128</v>
      </c>
      <c r="L19" s="47" t="s">
        <v>127</v>
      </c>
      <c r="M19" s="47" t="s">
        <v>128</v>
      </c>
      <c r="N19" s="324"/>
      <c r="O19" s="324"/>
      <c r="P19" s="324"/>
      <c r="Q19" s="262"/>
      <c r="R19" s="324"/>
      <c r="S19" s="324"/>
      <c r="T19" s="324"/>
    </row>
    <row r="20" spans="4:20" x14ac:dyDescent="0.25">
      <c r="D20" s="260">
        <v>1</v>
      </c>
      <c r="E20" s="260" t="s">
        <v>4</v>
      </c>
      <c r="F20" s="260">
        <v>16</v>
      </c>
      <c r="G20" s="260" t="s">
        <v>5</v>
      </c>
      <c r="H20" s="282">
        <v>1605</v>
      </c>
      <c r="I20" s="284" t="s">
        <v>6</v>
      </c>
      <c r="J20" s="171" t="s">
        <v>77</v>
      </c>
      <c r="K20" s="1" t="s">
        <v>7</v>
      </c>
      <c r="L20" s="1"/>
      <c r="M20" s="1"/>
      <c r="N20" s="215">
        <v>4.04</v>
      </c>
      <c r="O20" s="150">
        <v>1.54</v>
      </c>
      <c r="P20" s="150">
        <v>7.23</v>
      </c>
      <c r="Q20" s="217">
        <f>77.1/1000</f>
        <v>7.7099999999999988E-2</v>
      </c>
      <c r="R20" s="150">
        <v>2.63</v>
      </c>
      <c r="S20" s="150">
        <v>1</v>
      </c>
      <c r="T20" s="150" t="s">
        <v>161</v>
      </c>
    </row>
    <row r="21" spans="4:20" x14ac:dyDescent="0.25">
      <c r="D21" s="261"/>
      <c r="E21" s="261"/>
      <c r="F21" s="261"/>
      <c r="G21" s="261"/>
      <c r="H21" s="282"/>
      <c r="I21" s="284"/>
      <c r="J21" s="171" t="s">
        <v>78</v>
      </c>
      <c r="K21" s="1" t="s">
        <v>8</v>
      </c>
      <c r="L21" s="1"/>
      <c r="M21" s="1"/>
      <c r="N21" s="215">
        <v>4.7</v>
      </c>
      <c r="O21" s="150">
        <v>1.79</v>
      </c>
      <c r="P21" s="150">
        <v>8.41</v>
      </c>
      <c r="Q21" s="211">
        <f>82.5/1000</f>
        <v>8.2500000000000004E-2</v>
      </c>
      <c r="R21" s="150">
        <v>3.06</v>
      </c>
      <c r="S21" s="150">
        <v>1.17</v>
      </c>
      <c r="T21" s="150" t="s">
        <v>161</v>
      </c>
    </row>
    <row r="22" spans="4:20" x14ac:dyDescent="0.25">
      <c r="D22" s="261"/>
      <c r="E22" s="261"/>
      <c r="F22" s="261"/>
      <c r="G22" s="261"/>
      <c r="H22" s="285" t="s">
        <v>9</v>
      </c>
      <c r="I22" s="279" t="s">
        <v>10</v>
      </c>
      <c r="J22" s="170" t="s">
        <v>79</v>
      </c>
      <c r="K22" s="1" t="s">
        <v>11</v>
      </c>
      <c r="L22" s="1"/>
      <c r="M22" s="1"/>
      <c r="N22" s="150">
        <v>15.16</v>
      </c>
      <c r="O22" s="150">
        <v>4.05</v>
      </c>
      <c r="P22" s="150" t="s">
        <v>161</v>
      </c>
      <c r="Q22" s="211">
        <v>0.88</v>
      </c>
      <c r="R22" s="43">
        <f>7166.26/1000</f>
        <v>7.1662600000000003</v>
      </c>
      <c r="S22" s="71">
        <f>308.41/1000</f>
        <v>0.30841000000000002</v>
      </c>
      <c r="T22" s="150" t="s">
        <v>161</v>
      </c>
    </row>
    <row r="23" spans="4:20" x14ac:dyDescent="0.25">
      <c r="D23" s="261"/>
      <c r="E23" s="261"/>
      <c r="F23" s="261"/>
      <c r="G23" s="261"/>
      <c r="H23" s="286"/>
      <c r="I23" s="280"/>
      <c r="J23" s="170" t="s">
        <v>80</v>
      </c>
      <c r="K23" s="1" t="s">
        <v>12</v>
      </c>
      <c r="L23" s="1"/>
      <c r="M23" s="1"/>
      <c r="N23" s="150">
        <v>1.83</v>
      </c>
      <c r="O23" s="150">
        <v>0.87</v>
      </c>
      <c r="P23" s="150" t="s">
        <v>161</v>
      </c>
      <c r="Q23" s="217">
        <v>5.0000000000000001E-3</v>
      </c>
      <c r="R23" s="43">
        <f>775.93/1000</f>
        <v>0.7759299999999999</v>
      </c>
      <c r="S23" s="43">
        <f>87.35/1000</f>
        <v>8.7349999999999997E-2</v>
      </c>
      <c r="T23" s="150" t="s">
        <v>161</v>
      </c>
    </row>
    <row r="24" spans="4:20" x14ac:dyDescent="0.25">
      <c r="D24" s="261"/>
      <c r="E24" s="261"/>
      <c r="F24" s="261"/>
      <c r="G24" s="261"/>
      <c r="H24" s="286"/>
      <c r="I24" s="280"/>
      <c r="J24" s="170" t="s">
        <v>81</v>
      </c>
      <c r="K24" s="1" t="s">
        <v>13</v>
      </c>
      <c r="L24" s="1"/>
      <c r="M24" s="1"/>
      <c r="N24" s="150">
        <v>15.85</v>
      </c>
      <c r="O24" s="150">
        <v>3.72</v>
      </c>
      <c r="P24" s="150" t="s">
        <v>161</v>
      </c>
      <c r="Q24" s="217">
        <v>0.105</v>
      </c>
      <c r="R24" s="43">
        <f>6909.24/1000</f>
        <v>6.9092399999999996</v>
      </c>
      <c r="S24" s="43">
        <f>1045.1/1000</f>
        <v>1.0450999999999999</v>
      </c>
      <c r="T24" s="150" t="s">
        <v>161</v>
      </c>
    </row>
    <row r="25" spans="4:20" x14ac:dyDescent="0.25">
      <c r="D25" s="261"/>
      <c r="E25" s="261"/>
      <c r="F25" s="261"/>
      <c r="G25" s="261"/>
      <c r="H25" s="286"/>
      <c r="I25" s="280"/>
      <c r="J25" s="170" t="s">
        <v>82</v>
      </c>
      <c r="K25" s="1" t="s">
        <v>14</v>
      </c>
      <c r="L25" s="1"/>
      <c r="M25" s="1"/>
      <c r="N25" s="150">
        <v>4.79</v>
      </c>
      <c r="O25" s="150">
        <v>2.2799999999999998</v>
      </c>
      <c r="P25" s="150" t="s">
        <v>161</v>
      </c>
      <c r="Q25" s="216" t="s">
        <v>161</v>
      </c>
      <c r="R25" s="43">
        <f>1920.61/1000</f>
        <v>1.9206099999999999</v>
      </c>
      <c r="S25" s="43">
        <f>153.87/1000</f>
        <v>0.15387000000000001</v>
      </c>
      <c r="T25" s="150" t="s">
        <v>161</v>
      </c>
    </row>
    <row r="26" spans="4:20" x14ac:dyDescent="0.25">
      <c r="D26" s="261"/>
      <c r="E26" s="261"/>
      <c r="F26" s="261"/>
      <c r="G26" s="261"/>
      <c r="H26" s="286"/>
      <c r="I26" s="280"/>
      <c r="J26" s="170" t="s">
        <v>83</v>
      </c>
      <c r="K26" s="1" t="s">
        <v>15</v>
      </c>
      <c r="L26" s="1"/>
      <c r="M26" s="1"/>
      <c r="N26" s="150">
        <v>17.53</v>
      </c>
      <c r="O26" s="150">
        <v>8.34</v>
      </c>
      <c r="P26" s="150" t="s">
        <v>161</v>
      </c>
      <c r="Q26" s="216" t="s">
        <v>161</v>
      </c>
      <c r="R26" s="43">
        <f>6771.63/1000</f>
        <v>6.77163</v>
      </c>
      <c r="S26" s="43">
        <f>457.92/1000</f>
        <v>0.45791999999999999</v>
      </c>
      <c r="T26" s="150" t="s">
        <v>161</v>
      </c>
    </row>
    <row r="27" spans="4:20" x14ac:dyDescent="0.25">
      <c r="D27" s="261"/>
      <c r="E27" s="261"/>
      <c r="F27" s="261"/>
      <c r="G27" s="261"/>
      <c r="H27" s="286"/>
      <c r="I27" s="280"/>
      <c r="J27" s="170" t="s">
        <v>84</v>
      </c>
      <c r="K27" s="1" t="s">
        <v>16</v>
      </c>
      <c r="L27" s="1"/>
      <c r="M27" s="1"/>
      <c r="N27" s="150">
        <v>8.56</v>
      </c>
      <c r="O27" s="150">
        <v>2.0099999999999998</v>
      </c>
      <c r="P27" s="150" t="s">
        <v>161</v>
      </c>
      <c r="Q27" s="211">
        <v>5.6000000000000001E-2</v>
      </c>
      <c r="R27" s="43">
        <f>3906.74/1000</f>
        <v>3.9067399999999997</v>
      </c>
      <c r="S27" s="43">
        <f>684.52/1000</f>
        <v>0.68452000000000002</v>
      </c>
      <c r="T27" s="150" t="s">
        <v>161</v>
      </c>
    </row>
    <row r="28" spans="4:20" x14ac:dyDescent="0.25">
      <c r="D28" s="261"/>
      <c r="E28" s="261"/>
      <c r="F28" s="261"/>
      <c r="G28" s="261"/>
      <c r="H28" s="286"/>
      <c r="I28" s="280"/>
      <c r="J28" s="170" t="s">
        <v>85</v>
      </c>
      <c r="K28" s="1" t="s">
        <v>17</v>
      </c>
      <c r="L28" s="1"/>
      <c r="M28" s="1"/>
      <c r="N28" s="150">
        <v>5.15</v>
      </c>
      <c r="O28" s="150">
        <v>1.21</v>
      </c>
      <c r="P28" s="150" t="s">
        <v>161</v>
      </c>
      <c r="Q28" s="211">
        <v>6.8000000000000005E-2</v>
      </c>
      <c r="R28" s="43">
        <f>2305.57/1000</f>
        <v>2.3055700000000003</v>
      </c>
      <c r="S28" s="43">
        <f>394.42/1000</f>
        <v>0.39441999999999999</v>
      </c>
      <c r="T28" s="150" t="s">
        <v>161</v>
      </c>
    </row>
    <row r="29" spans="4:20" x14ac:dyDescent="0.25">
      <c r="D29" s="261"/>
      <c r="E29" s="261"/>
      <c r="F29" s="261"/>
      <c r="G29" s="261"/>
      <c r="H29" s="286"/>
      <c r="I29" s="280"/>
      <c r="J29" s="170" t="s">
        <v>86</v>
      </c>
      <c r="K29" s="1" t="s">
        <v>18</v>
      </c>
      <c r="L29" s="1"/>
      <c r="M29" s="1"/>
      <c r="N29" s="150">
        <v>6.69</v>
      </c>
      <c r="O29" s="150">
        <v>3.18</v>
      </c>
      <c r="P29" s="150" t="s">
        <v>161</v>
      </c>
      <c r="Q29" s="211">
        <v>2.3E-2</v>
      </c>
      <c r="R29" s="43">
        <f>2618.85/1000</f>
        <v>2.6188500000000001</v>
      </c>
      <c r="S29" s="43">
        <f>32.43/1000</f>
        <v>3.243E-2</v>
      </c>
      <c r="T29" s="150" t="s">
        <v>161</v>
      </c>
    </row>
    <row r="30" spans="4:20" x14ac:dyDescent="0.25">
      <c r="D30" s="261"/>
      <c r="E30" s="261"/>
      <c r="F30" s="261"/>
      <c r="G30" s="261"/>
      <c r="H30" s="286"/>
      <c r="I30" s="280"/>
      <c r="J30" s="170" t="s">
        <v>87</v>
      </c>
      <c r="K30" s="1" t="s">
        <v>19</v>
      </c>
      <c r="L30" s="1"/>
      <c r="M30" s="1"/>
      <c r="N30" s="150">
        <v>9.8699999999999992</v>
      </c>
      <c r="O30" s="150">
        <v>4.7</v>
      </c>
      <c r="P30" s="150" t="s">
        <v>161</v>
      </c>
      <c r="Q30" s="211">
        <v>2.1000000000000001E-2</v>
      </c>
      <c r="R30" s="43">
        <f>3733.76/1000</f>
        <v>3.7337600000000002</v>
      </c>
      <c r="S30" s="43">
        <f>163.97/1000</f>
        <v>0.16397</v>
      </c>
      <c r="T30" s="150" t="s">
        <v>161</v>
      </c>
    </row>
    <row r="31" spans="4:20" x14ac:dyDescent="0.25">
      <c r="D31" s="261"/>
      <c r="E31" s="261"/>
      <c r="F31" s="261"/>
      <c r="G31" s="261"/>
      <c r="H31" s="287"/>
      <c r="I31" s="281"/>
      <c r="J31" s="170" t="s">
        <v>88</v>
      </c>
      <c r="K31" s="1" t="s">
        <v>20</v>
      </c>
      <c r="L31" s="1"/>
      <c r="M31" s="1"/>
      <c r="N31" s="150">
        <v>4.21</v>
      </c>
      <c r="O31" s="150">
        <v>2</v>
      </c>
      <c r="P31" s="150" t="s">
        <v>161</v>
      </c>
      <c r="Q31" s="211">
        <v>0.48399999999999999</v>
      </c>
      <c r="R31" s="43">
        <f>1698.18/1000</f>
        <v>1.69818</v>
      </c>
      <c r="S31" s="181">
        <f>3.57/1000</f>
        <v>3.5699999999999998E-3</v>
      </c>
      <c r="T31" s="150" t="s">
        <v>161</v>
      </c>
    </row>
    <row r="32" spans="4:20" x14ac:dyDescent="0.25">
      <c r="D32" s="261"/>
      <c r="E32" s="261"/>
      <c r="F32" s="261"/>
      <c r="G32" s="261"/>
      <c r="H32" s="168" t="s">
        <v>21</v>
      </c>
      <c r="I32" s="36" t="s">
        <v>119</v>
      </c>
      <c r="J32" s="32"/>
      <c r="K32" s="18" t="s">
        <v>22</v>
      </c>
      <c r="L32" s="18"/>
      <c r="M32" s="18"/>
      <c r="N32" s="150" t="s">
        <v>161</v>
      </c>
      <c r="O32" s="150" t="s">
        <v>161</v>
      </c>
      <c r="P32" s="150" t="s">
        <v>161</v>
      </c>
      <c r="Q32" s="216" t="s">
        <v>161</v>
      </c>
      <c r="R32" s="150" t="s">
        <v>161</v>
      </c>
      <c r="S32" s="150" t="s">
        <v>161</v>
      </c>
      <c r="T32" s="150" t="s">
        <v>161</v>
      </c>
    </row>
    <row r="33" spans="4:20" x14ac:dyDescent="0.25">
      <c r="D33" s="261"/>
      <c r="E33" s="261"/>
      <c r="F33" s="261"/>
      <c r="G33" s="261"/>
      <c r="H33" s="168" t="s">
        <v>23</v>
      </c>
      <c r="I33" s="18" t="s">
        <v>24</v>
      </c>
      <c r="J33" s="18"/>
      <c r="K33" s="225" t="s">
        <v>25</v>
      </c>
      <c r="L33" s="225"/>
      <c r="M33" s="225"/>
      <c r="N33" s="150" t="s">
        <v>161</v>
      </c>
      <c r="O33" s="150" t="s">
        <v>161</v>
      </c>
      <c r="P33" s="150" t="s">
        <v>161</v>
      </c>
      <c r="Q33" s="216" t="s">
        <v>161</v>
      </c>
      <c r="R33" s="150" t="s">
        <v>161</v>
      </c>
      <c r="S33" s="150" t="s">
        <v>161</v>
      </c>
      <c r="T33" s="150" t="s">
        <v>161</v>
      </c>
    </row>
    <row r="34" spans="4:20" x14ac:dyDescent="0.25">
      <c r="D34" s="261"/>
      <c r="E34" s="261"/>
      <c r="F34" s="261"/>
      <c r="G34" s="261"/>
      <c r="H34" s="282">
        <v>1601</v>
      </c>
      <c r="I34" s="283" t="s">
        <v>26</v>
      </c>
      <c r="J34" s="19">
        <v>20</v>
      </c>
      <c r="K34" s="19" t="s">
        <v>27</v>
      </c>
      <c r="L34" s="19"/>
      <c r="M34" s="19"/>
      <c r="N34" s="150" t="s">
        <v>161</v>
      </c>
      <c r="O34" s="150" t="s">
        <v>161</v>
      </c>
      <c r="P34" s="150" t="s">
        <v>161</v>
      </c>
      <c r="Q34" s="216" t="s">
        <v>113</v>
      </c>
      <c r="R34" s="150" t="s">
        <v>161</v>
      </c>
      <c r="S34" s="150" t="s">
        <v>161</v>
      </c>
      <c r="T34" s="150" t="s">
        <v>161</v>
      </c>
    </row>
    <row r="35" spans="4:20" x14ac:dyDescent="0.25">
      <c r="D35" s="261"/>
      <c r="E35" s="261"/>
      <c r="F35" s="261"/>
      <c r="G35" s="261"/>
      <c r="H35" s="282"/>
      <c r="I35" s="283"/>
      <c r="J35" s="19">
        <v>17</v>
      </c>
      <c r="K35" s="19" t="s">
        <v>28</v>
      </c>
      <c r="L35" s="19"/>
      <c r="M35" s="19"/>
      <c r="N35" s="150" t="s">
        <v>161</v>
      </c>
      <c r="O35" s="150" t="s">
        <v>161</v>
      </c>
      <c r="P35" s="150" t="s">
        <v>161</v>
      </c>
      <c r="Q35" s="216" t="s">
        <v>113</v>
      </c>
      <c r="R35" s="150" t="s">
        <v>161</v>
      </c>
      <c r="S35" s="150" t="s">
        <v>161</v>
      </c>
      <c r="T35" s="150" t="s">
        <v>161</v>
      </c>
    </row>
    <row r="36" spans="4:20" x14ac:dyDescent="0.25">
      <c r="D36" s="261"/>
      <c r="E36" s="261"/>
      <c r="F36" s="261"/>
      <c r="G36" s="261"/>
      <c r="H36" s="282"/>
      <c r="I36" s="283"/>
      <c r="J36" s="19">
        <v>21</v>
      </c>
      <c r="K36" s="19" t="s">
        <v>29</v>
      </c>
      <c r="L36" s="19"/>
      <c r="M36" s="19"/>
      <c r="N36" s="150" t="s">
        <v>161</v>
      </c>
      <c r="O36" s="150" t="s">
        <v>161</v>
      </c>
      <c r="P36" s="150" t="s">
        <v>161</v>
      </c>
      <c r="Q36" s="216" t="s">
        <v>113</v>
      </c>
      <c r="R36" s="150" t="s">
        <v>161</v>
      </c>
      <c r="S36" s="150" t="s">
        <v>161</v>
      </c>
      <c r="T36" s="150" t="s">
        <v>161</v>
      </c>
    </row>
    <row r="37" spans="4:20" x14ac:dyDescent="0.25">
      <c r="D37" s="261"/>
      <c r="E37" s="261"/>
      <c r="F37" s="261"/>
      <c r="G37" s="261"/>
      <c r="H37" s="282"/>
      <c r="I37" s="283"/>
      <c r="J37" s="19">
        <v>24</v>
      </c>
      <c r="K37" s="19" t="s">
        <v>30</v>
      </c>
      <c r="L37" s="19"/>
      <c r="M37" s="19"/>
      <c r="N37" s="150" t="s">
        <v>161</v>
      </c>
      <c r="O37" s="150" t="s">
        <v>161</v>
      </c>
      <c r="P37" s="150" t="s">
        <v>161</v>
      </c>
      <c r="Q37" s="216" t="s">
        <v>113</v>
      </c>
      <c r="R37" s="150" t="s">
        <v>161</v>
      </c>
      <c r="S37" s="150" t="s">
        <v>161</v>
      </c>
      <c r="T37" s="150" t="s">
        <v>161</v>
      </c>
    </row>
    <row r="38" spans="4:20" x14ac:dyDescent="0.25">
      <c r="D38" s="278"/>
      <c r="E38" s="278"/>
      <c r="F38" s="278"/>
      <c r="G38" s="278"/>
      <c r="H38" s="282"/>
      <c r="I38" s="283"/>
      <c r="J38" s="19">
        <v>25</v>
      </c>
      <c r="K38" s="19" t="s">
        <v>31</v>
      </c>
      <c r="L38" s="19"/>
      <c r="M38" s="19"/>
      <c r="N38" s="150" t="s">
        <v>161</v>
      </c>
      <c r="O38" s="150" t="s">
        <v>161</v>
      </c>
      <c r="P38" s="150" t="s">
        <v>161</v>
      </c>
      <c r="Q38" s="216" t="s">
        <v>113</v>
      </c>
      <c r="R38" s="150" t="s">
        <v>161</v>
      </c>
      <c r="S38" s="150" t="s">
        <v>161</v>
      </c>
      <c r="T38" s="150" t="s">
        <v>161</v>
      </c>
    </row>
    <row r="39" spans="4:20" x14ac:dyDescent="0.25">
      <c r="D39" s="257" t="s">
        <v>32</v>
      </c>
      <c r="E39" s="258" t="s">
        <v>33</v>
      </c>
      <c r="F39" s="285">
        <v>23</v>
      </c>
      <c r="G39" s="258" t="s">
        <v>34</v>
      </c>
      <c r="H39" s="260">
        <v>2319</v>
      </c>
      <c r="I39" s="290" t="s">
        <v>51</v>
      </c>
      <c r="J39" s="19" t="s">
        <v>185</v>
      </c>
      <c r="K39" s="18" t="s">
        <v>35</v>
      </c>
      <c r="L39" s="19" t="s">
        <v>92</v>
      </c>
      <c r="M39" s="226" t="s">
        <v>36</v>
      </c>
      <c r="N39" s="43">
        <v>5.633</v>
      </c>
      <c r="O39" s="43">
        <v>1.0554600000000001</v>
      </c>
      <c r="P39" s="43">
        <v>14.32</v>
      </c>
      <c r="Q39" s="211">
        <v>3.5000000000000003E-2</v>
      </c>
      <c r="R39" s="43">
        <v>4.22</v>
      </c>
      <c r="S39" s="43">
        <v>0.79</v>
      </c>
      <c r="T39" s="43">
        <v>3.58</v>
      </c>
    </row>
    <row r="40" spans="4:20" x14ac:dyDescent="0.25">
      <c r="D40" s="257"/>
      <c r="E40" s="288"/>
      <c r="F40" s="286"/>
      <c r="G40" s="288"/>
      <c r="H40" s="261"/>
      <c r="I40" s="291"/>
      <c r="J40" s="19" t="s">
        <v>186</v>
      </c>
      <c r="K40" s="18" t="s">
        <v>37</v>
      </c>
      <c r="L40" s="19" t="s">
        <v>93</v>
      </c>
      <c r="M40" s="226" t="s">
        <v>38</v>
      </c>
      <c r="N40" s="43">
        <v>2.6480000000000001</v>
      </c>
      <c r="O40" s="43">
        <v>0.24922</v>
      </c>
      <c r="P40" s="43">
        <v>8.24</v>
      </c>
      <c r="Q40" s="219">
        <v>1128</v>
      </c>
      <c r="R40" s="43">
        <v>1.99</v>
      </c>
      <c r="S40" s="43">
        <v>0.19</v>
      </c>
      <c r="T40" s="43">
        <v>2.06</v>
      </c>
    </row>
    <row r="41" spans="4:20" x14ac:dyDescent="0.25">
      <c r="D41" s="257"/>
      <c r="E41" s="288"/>
      <c r="F41" s="286"/>
      <c r="G41" s="288"/>
      <c r="H41" s="261"/>
      <c r="I41" s="291"/>
      <c r="J41" s="19" t="s">
        <v>187</v>
      </c>
      <c r="K41" s="289" t="s">
        <v>39</v>
      </c>
      <c r="L41" s="19" t="s">
        <v>94</v>
      </c>
      <c r="M41" s="226" t="s">
        <v>40</v>
      </c>
      <c r="N41" s="43">
        <v>7.33</v>
      </c>
      <c r="O41" s="43">
        <v>1.6174900000000001</v>
      </c>
      <c r="P41" s="43">
        <v>18.28</v>
      </c>
      <c r="Q41" s="211">
        <v>1.9E-2</v>
      </c>
      <c r="R41" s="43">
        <v>5.5</v>
      </c>
      <c r="S41" s="43">
        <v>1.21</v>
      </c>
      <c r="T41" s="43">
        <v>4.57</v>
      </c>
    </row>
    <row r="42" spans="4:20" x14ac:dyDescent="0.25">
      <c r="D42" s="257"/>
      <c r="E42" s="288"/>
      <c r="F42" s="286"/>
      <c r="G42" s="288"/>
      <c r="H42" s="261"/>
      <c r="I42" s="291"/>
      <c r="J42" s="19" t="s">
        <v>187</v>
      </c>
      <c r="K42" s="289"/>
      <c r="L42" s="19" t="s">
        <v>95</v>
      </c>
      <c r="M42" s="226" t="s">
        <v>41</v>
      </c>
      <c r="N42" s="43">
        <v>3.9079999999999999</v>
      </c>
      <c r="O42" s="43">
        <v>0.86240000000000006</v>
      </c>
      <c r="P42" s="43">
        <v>9.74</v>
      </c>
      <c r="Q42" s="211">
        <v>4.9000000000000002E-2</v>
      </c>
      <c r="R42" s="43">
        <v>2.93</v>
      </c>
      <c r="S42" s="43">
        <v>0.65</v>
      </c>
      <c r="T42" s="43">
        <v>2.44</v>
      </c>
    </row>
    <row r="43" spans="4:20" x14ac:dyDescent="0.25">
      <c r="D43" s="257"/>
      <c r="E43" s="288"/>
      <c r="F43" s="286"/>
      <c r="G43" s="288"/>
      <c r="H43" s="261"/>
      <c r="I43" s="291"/>
      <c r="J43" s="19" t="s">
        <v>187</v>
      </c>
      <c r="K43" s="289"/>
      <c r="L43" s="19" t="s">
        <v>96</v>
      </c>
      <c r="M43" s="226" t="s">
        <v>42</v>
      </c>
      <c r="N43" s="43">
        <v>1.9059999999999999</v>
      </c>
      <c r="O43" s="43">
        <v>0.42069000000000001</v>
      </c>
      <c r="P43" s="43">
        <v>4.75</v>
      </c>
      <c r="Q43" s="211">
        <v>8.0000000000000002E-3</v>
      </c>
      <c r="R43" s="43">
        <v>1.43</v>
      </c>
      <c r="S43" s="43">
        <v>0.32</v>
      </c>
      <c r="T43" s="43">
        <v>1.19</v>
      </c>
    </row>
    <row r="44" spans="4:20" x14ac:dyDescent="0.25">
      <c r="D44" s="257"/>
      <c r="E44" s="288"/>
      <c r="F44" s="286"/>
      <c r="G44" s="288"/>
      <c r="H44" s="261"/>
      <c r="I44" s="291"/>
      <c r="J44" s="19" t="s">
        <v>187</v>
      </c>
      <c r="K44" s="289"/>
      <c r="L44" s="19" t="s">
        <v>97</v>
      </c>
      <c r="M44" s="226" t="s">
        <v>43</v>
      </c>
      <c r="N44" s="43">
        <v>2.8650000000000002</v>
      </c>
      <c r="O44" s="43">
        <v>0.54068000000000005</v>
      </c>
      <c r="P44" s="43">
        <v>7.98</v>
      </c>
      <c r="Q44" s="219">
        <v>1273</v>
      </c>
      <c r="R44" s="43">
        <v>2.15</v>
      </c>
      <c r="S44" s="43">
        <v>0.41</v>
      </c>
      <c r="T44" s="43">
        <v>1.99</v>
      </c>
    </row>
    <row r="45" spans="4:20" x14ac:dyDescent="0.25">
      <c r="D45" s="257"/>
      <c r="E45" s="288"/>
      <c r="F45" s="286"/>
      <c r="G45" s="288"/>
      <c r="H45" s="261"/>
      <c r="I45" s="291"/>
      <c r="J45" s="19" t="s">
        <v>181</v>
      </c>
      <c r="K45" s="283" t="s">
        <v>45</v>
      </c>
      <c r="L45" s="19" t="s">
        <v>102</v>
      </c>
      <c r="M45" s="19" t="s">
        <v>46</v>
      </c>
      <c r="N45" s="43">
        <v>1.9</v>
      </c>
      <c r="O45" s="43">
        <v>1.2999999999999999E-2</v>
      </c>
      <c r="P45" s="43">
        <v>22.6</v>
      </c>
      <c r="Q45" s="211" t="s">
        <v>164</v>
      </c>
      <c r="R45" s="43">
        <v>1.4253</v>
      </c>
      <c r="S45" s="43">
        <v>9.7999999999999997E-3</v>
      </c>
      <c r="T45" s="43">
        <v>16.951899999999998</v>
      </c>
    </row>
    <row r="46" spans="4:20" x14ac:dyDescent="0.25">
      <c r="D46" s="257"/>
      <c r="E46" s="288"/>
      <c r="F46" s="286"/>
      <c r="G46" s="288"/>
      <c r="H46" s="261"/>
      <c r="I46" s="291"/>
      <c r="J46" s="19" t="s">
        <v>182</v>
      </c>
      <c r="K46" s="283"/>
      <c r="L46" s="19" t="s">
        <v>103</v>
      </c>
      <c r="M46" s="19" t="s">
        <v>47</v>
      </c>
      <c r="N46" s="43">
        <v>2.8879999999999999</v>
      </c>
      <c r="O46" s="43">
        <v>0.37130000000000002</v>
      </c>
      <c r="P46" s="43">
        <v>8</v>
      </c>
      <c r="Q46" s="211" t="s">
        <v>163</v>
      </c>
      <c r="R46" s="43">
        <v>2.1663000000000001</v>
      </c>
      <c r="S46" s="43">
        <v>0.27850000000000003</v>
      </c>
      <c r="T46" s="43">
        <v>5.9988700000000001</v>
      </c>
    </row>
    <row r="47" spans="4:20" x14ac:dyDescent="0.25">
      <c r="D47" s="257"/>
      <c r="E47" s="288"/>
      <c r="F47" s="286"/>
      <c r="G47" s="288"/>
      <c r="H47" s="261"/>
      <c r="I47" s="291"/>
      <c r="J47" s="19" t="s">
        <v>183</v>
      </c>
      <c r="K47" s="283"/>
      <c r="L47" s="19" t="s">
        <v>104</v>
      </c>
      <c r="M47" s="19" t="s">
        <v>48</v>
      </c>
      <c r="N47" s="43">
        <v>3.4409999999999998</v>
      </c>
      <c r="O47" s="43">
        <v>0.44230000000000003</v>
      </c>
      <c r="P47" s="43">
        <v>9.5299999999999994</v>
      </c>
      <c r="Q47" s="211" t="s">
        <v>165</v>
      </c>
      <c r="R47" s="43">
        <v>2.5808</v>
      </c>
      <c r="S47" s="43">
        <v>0.33169999999999999</v>
      </c>
      <c r="T47" s="43">
        <v>7.14656</v>
      </c>
    </row>
    <row r="48" spans="4:20" ht="25.5" x14ac:dyDescent="0.25">
      <c r="D48" s="257"/>
      <c r="E48" s="288"/>
      <c r="F48" s="286"/>
      <c r="G48" s="288"/>
      <c r="H48" s="261"/>
      <c r="I48" s="291"/>
      <c r="J48" s="19" t="s">
        <v>184</v>
      </c>
      <c r="K48" s="34" t="s">
        <v>49</v>
      </c>
      <c r="L48" s="19" t="s">
        <v>184</v>
      </c>
      <c r="M48" s="19" t="s">
        <v>50</v>
      </c>
      <c r="N48" s="43" t="s">
        <v>113</v>
      </c>
      <c r="O48" s="43" t="s">
        <v>113</v>
      </c>
      <c r="P48" s="43" t="s">
        <v>113</v>
      </c>
      <c r="Q48" s="211">
        <v>8.35</v>
      </c>
      <c r="R48" s="43" t="s">
        <v>59</v>
      </c>
      <c r="S48" s="150" t="s">
        <v>161</v>
      </c>
      <c r="T48" s="150" t="s">
        <v>161</v>
      </c>
    </row>
    <row r="49" spans="4:20" x14ac:dyDescent="0.25">
      <c r="D49" s="257"/>
      <c r="E49" s="288"/>
      <c r="F49" s="286"/>
      <c r="G49" s="288"/>
      <c r="H49" s="261"/>
      <c r="I49" s="291"/>
      <c r="J49" s="19" t="s">
        <v>188</v>
      </c>
      <c r="K49" s="32"/>
      <c r="L49" s="19" t="s">
        <v>98</v>
      </c>
      <c r="M49" s="19" t="s">
        <v>115</v>
      </c>
      <c r="N49" s="64">
        <v>49.621000000000002</v>
      </c>
      <c r="O49" s="64">
        <v>8.3138900000000007</v>
      </c>
      <c r="P49" s="64">
        <v>135.91999999999999</v>
      </c>
      <c r="Q49" s="218">
        <v>6.7000000000000004E-2</v>
      </c>
      <c r="R49" s="43">
        <v>37.22</v>
      </c>
      <c r="S49" s="43">
        <v>6.24</v>
      </c>
      <c r="T49" s="43">
        <v>33.979999999999997</v>
      </c>
    </row>
    <row r="50" spans="4:20" x14ac:dyDescent="0.25">
      <c r="D50" s="257"/>
      <c r="E50" s="288"/>
      <c r="F50" s="286"/>
      <c r="G50" s="288"/>
      <c r="H50" s="261"/>
      <c r="I50" s="291"/>
      <c r="J50" s="19"/>
      <c r="K50" s="226" t="s">
        <v>44</v>
      </c>
      <c r="L50" s="19"/>
      <c r="M50" s="19"/>
      <c r="N50" s="150" t="s">
        <v>161</v>
      </c>
      <c r="O50" s="150" t="s">
        <v>161</v>
      </c>
      <c r="P50" s="150" t="s">
        <v>161</v>
      </c>
      <c r="Q50" s="216" t="s">
        <v>161</v>
      </c>
      <c r="R50" s="150" t="s">
        <v>161</v>
      </c>
      <c r="S50" s="150" t="s">
        <v>161</v>
      </c>
      <c r="T50" s="150" t="s">
        <v>161</v>
      </c>
    </row>
    <row r="51" spans="4:20" x14ac:dyDescent="0.25">
      <c r="D51" s="257"/>
      <c r="E51" s="288"/>
      <c r="F51" s="287"/>
      <c r="G51" s="259"/>
      <c r="H51" s="278"/>
      <c r="I51" s="291"/>
      <c r="J51" s="19" t="s">
        <v>189</v>
      </c>
      <c r="K51" s="32"/>
      <c r="L51" s="19" t="s">
        <v>189</v>
      </c>
      <c r="M51" s="19" t="s">
        <v>107</v>
      </c>
      <c r="N51" s="43" t="s">
        <v>113</v>
      </c>
      <c r="O51" s="43" t="s">
        <v>113</v>
      </c>
      <c r="P51" s="43" t="s">
        <v>113</v>
      </c>
      <c r="Q51" s="211">
        <v>18.850000000000001</v>
      </c>
      <c r="R51" s="43">
        <v>25.23</v>
      </c>
      <c r="S51" s="150" t="s">
        <v>161</v>
      </c>
      <c r="T51" s="150" t="s">
        <v>161</v>
      </c>
    </row>
    <row r="52" spans="4:20" x14ac:dyDescent="0.25">
      <c r="D52" s="257"/>
      <c r="E52" s="259"/>
      <c r="F52" s="172">
        <v>24</v>
      </c>
      <c r="G52" s="172" t="s">
        <v>52</v>
      </c>
      <c r="H52" s="172">
        <v>2403</v>
      </c>
      <c r="I52" s="241" t="s">
        <v>120</v>
      </c>
      <c r="J52" s="18"/>
      <c r="K52" s="18" t="s">
        <v>53</v>
      </c>
      <c r="L52" s="18"/>
      <c r="M52" s="18"/>
      <c r="N52" s="150" t="s">
        <v>161</v>
      </c>
      <c r="O52" s="150" t="s">
        <v>161</v>
      </c>
      <c r="P52" s="150" t="s">
        <v>161</v>
      </c>
      <c r="Q52" s="216" t="s">
        <v>161</v>
      </c>
      <c r="R52" s="150" t="s">
        <v>161</v>
      </c>
      <c r="S52" s="150" t="s">
        <v>161</v>
      </c>
      <c r="T52" s="150" t="s">
        <v>161</v>
      </c>
    </row>
    <row r="53" spans="4:20" x14ac:dyDescent="0.25">
      <c r="D53" s="282">
        <v>3</v>
      </c>
      <c r="E53" s="260" t="s">
        <v>54</v>
      </c>
      <c r="F53" s="282">
        <v>37</v>
      </c>
      <c r="G53" s="260" t="s">
        <v>55</v>
      </c>
      <c r="H53" s="282">
        <v>3701</v>
      </c>
      <c r="I53" s="289" t="s">
        <v>56</v>
      </c>
      <c r="J53" s="19"/>
      <c r="K53" s="228" t="s">
        <v>203</v>
      </c>
      <c r="L53" s="228"/>
      <c r="M53" s="228"/>
      <c r="N53" s="150" t="s">
        <v>161</v>
      </c>
      <c r="O53" s="150" t="s">
        <v>161</v>
      </c>
      <c r="P53" s="150" t="s">
        <v>161</v>
      </c>
      <c r="Q53" s="216" t="s">
        <v>161</v>
      </c>
      <c r="R53" s="150" t="s">
        <v>161</v>
      </c>
      <c r="S53" s="150" t="s">
        <v>161</v>
      </c>
      <c r="T53" s="150" t="s">
        <v>161</v>
      </c>
    </row>
    <row r="54" spans="4:20" x14ac:dyDescent="0.25">
      <c r="D54" s="282"/>
      <c r="E54" s="278"/>
      <c r="F54" s="282"/>
      <c r="G54" s="278"/>
      <c r="H54" s="282"/>
      <c r="I54" s="289"/>
      <c r="J54" s="19"/>
      <c r="K54" s="228" t="s">
        <v>57</v>
      </c>
      <c r="L54" s="228"/>
      <c r="M54" s="228"/>
      <c r="N54" s="150" t="s">
        <v>161</v>
      </c>
      <c r="O54" s="150" t="s">
        <v>161</v>
      </c>
      <c r="P54" s="150" t="s">
        <v>161</v>
      </c>
      <c r="Q54" s="216" t="s">
        <v>161</v>
      </c>
      <c r="R54" s="150" t="s">
        <v>161</v>
      </c>
      <c r="S54" s="150" t="s">
        <v>161</v>
      </c>
      <c r="T54" s="150" t="s">
        <v>161</v>
      </c>
    </row>
  </sheetData>
  <mergeCells count="52">
    <mergeCell ref="K41:K44"/>
    <mergeCell ref="K45:K47"/>
    <mergeCell ref="D53:D54"/>
    <mergeCell ref="E53:E54"/>
    <mergeCell ref="F53:F54"/>
    <mergeCell ref="G53:G54"/>
    <mergeCell ref="H53:H54"/>
    <mergeCell ref="I53:I54"/>
    <mergeCell ref="D39:D52"/>
    <mergeCell ref="E39:E52"/>
    <mergeCell ref="F39:F51"/>
    <mergeCell ref="G39:G51"/>
    <mergeCell ref="H39:H51"/>
    <mergeCell ref="I39:I51"/>
    <mergeCell ref="D20:D38"/>
    <mergeCell ref="E20:E38"/>
    <mergeCell ref="F20:F38"/>
    <mergeCell ref="G20:G38"/>
    <mergeCell ref="H20:H21"/>
    <mergeCell ref="H22:H31"/>
    <mergeCell ref="E6:E10"/>
    <mergeCell ref="F6:F10"/>
    <mergeCell ref="G6:G10"/>
    <mergeCell ref="H34:H38"/>
    <mergeCell ref="I34:I38"/>
    <mergeCell ref="I20:I21"/>
    <mergeCell ref="I22:I31"/>
    <mergeCell ref="T18:T19"/>
    <mergeCell ref="Q17:Q19"/>
    <mergeCell ref="P18:P19"/>
    <mergeCell ref="R18:R19"/>
    <mergeCell ref="S18:S19"/>
    <mergeCell ref="N17:P17"/>
    <mergeCell ref="R17:T17"/>
    <mergeCell ref="N18:N19"/>
    <mergeCell ref="O18:O19"/>
    <mergeCell ref="D2:P2"/>
    <mergeCell ref="D17:E18"/>
    <mergeCell ref="F17:G18"/>
    <mergeCell ref="H17:I18"/>
    <mergeCell ref="J17:K18"/>
    <mergeCell ref="L17:M18"/>
    <mergeCell ref="D16:T16"/>
    <mergeCell ref="D11:D12"/>
    <mergeCell ref="E11:E12"/>
    <mergeCell ref="M4:M5"/>
    <mergeCell ref="N4:P4"/>
    <mergeCell ref="J4:L4"/>
    <mergeCell ref="D4:E4"/>
    <mergeCell ref="F4:G4"/>
    <mergeCell ref="H4:I4"/>
    <mergeCell ref="D6:D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vt:i4>
      </vt:variant>
    </vt:vector>
  </HeadingPairs>
  <TitlesOfParts>
    <vt:vector size="14" baseType="lpstr">
      <vt:lpstr>Oferta ENA 2018</vt:lpstr>
      <vt:lpstr>Oferta Pomca</vt:lpstr>
      <vt:lpstr>Demanda ENA 2018</vt:lpstr>
      <vt:lpstr>Demanda Pomcas</vt:lpstr>
      <vt:lpstr>Demanda Sectorial Pomcas</vt:lpstr>
      <vt:lpstr>Demanda Población</vt:lpstr>
      <vt:lpstr>Calidad ENA 2018</vt:lpstr>
      <vt:lpstr>Calidad Pomcas</vt:lpstr>
      <vt:lpstr>Compar Oferta-Demanda</vt:lpstr>
      <vt:lpstr>Riesgo</vt:lpstr>
      <vt:lpstr>Riesgo Pomcas</vt:lpstr>
      <vt:lpstr>Evaluacion integrada</vt:lpstr>
      <vt:lpstr>POT Recarga</vt:lpstr>
      <vt:lpstr>'Calidad Pomcas'!_Toc1572372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Paula Alejandra</cp:lastModifiedBy>
  <dcterms:created xsi:type="dcterms:W3CDTF">2019-05-13T14:33:03Z</dcterms:created>
  <dcterms:modified xsi:type="dcterms:W3CDTF">2020-05-07T17:05:22Z</dcterms:modified>
</cp:coreProperties>
</file>